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02"/>
  <workbookPr/>
  <xr:revisionPtr revIDLastSave="971" documentId="11_0B1D56BE9CDCCE836B02CE7A5FB0D4A9BBFD1C62" xr6:coauthVersionLast="47" xr6:coauthVersionMax="47" xr10:uidLastSave="{BA53810E-385C-4077-AECC-DCE2EEA8A2C1}"/>
  <bookViews>
    <workbookView xWindow="240" yWindow="105" windowWidth="14805" windowHeight="8010" activeTab="3" xr2:uid="{00000000-000D-0000-FFFF-FFFF00000000}"/>
  </bookViews>
  <sheets>
    <sheet name="Accounts 2025-26" sheetId="1" r:id="rId1"/>
    <sheet name="Bank Reconciliation" sheetId="2" r:id="rId2"/>
    <sheet name="Income" sheetId="3" r:id="rId3"/>
    <sheet name="Expenses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1" l="1"/>
  <c r="D58" i="4"/>
  <c r="D57" i="4"/>
  <c r="O14" i="1"/>
  <c r="R52" i="4"/>
  <c r="Q22" i="1"/>
  <c r="Q14" i="1"/>
  <c r="Q21" i="1"/>
  <c r="Q16" i="1"/>
  <c r="F52" i="4"/>
  <c r="H52" i="4"/>
  <c r="I52" i="4"/>
  <c r="J52" i="4"/>
  <c r="K52" i="4"/>
  <c r="L52" i="4"/>
  <c r="Q52" i="4"/>
  <c r="P52" i="4"/>
  <c r="O52" i="4"/>
  <c r="N52" i="4"/>
  <c r="M52" i="4"/>
  <c r="U2" i="1"/>
  <c r="T2" i="1"/>
  <c r="O16" i="1"/>
  <c r="O22" i="1"/>
  <c r="O15" i="1"/>
  <c r="Q15" i="1" s="1"/>
  <c r="O21" i="1"/>
  <c r="C3" i="2"/>
  <c r="E6" i="2"/>
  <c r="E3" i="2"/>
  <c r="E9" i="2" s="1"/>
  <c r="G9" i="2" s="1"/>
  <c r="S33" i="1"/>
  <c r="S34" i="1" s="1"/>
  <c r="S37" i="1" s="1"/>
  <c r="S25" i="1"/>
  <c r="S24" i="1"/>
  <c r="S23" i="1"/>
  <c r="S21" i="1"/>
  <c r="S18" i="1"/>
  <c r="S17" i="1"/>
  <c r="S15" i="1"/>
  <c r="S14" i="1"/>
  <c r="S52" i="4"/>
  <c r="C10" i="3"/>
  <c r="J2" i="3"/>
  <c r="J10" i="3" s="1"/>
  <c r="M21" i="1"/>
  <c r="M14" i="1"/>
  <c r="M16" i="1"/>
  <c r="K15" i="1"/>
  <c r="K21" i="1"/>
  <c r="K14" i="1"/>
  <c r="R16" i="1"/>
  <c r="R17" i="1"/>
  <c r="R18" i="1"/>
  <c r="R19" i="1"/>
  <c r="R20" i="1"/>
  <c r="R21" i="1"/>
  <c r="R22" i="1"/>
  <c r="R23" i="1"/>
  <c r="R24" i="1"/>
  <c r="R26" i="1"/>
  <c r="R27" i="1"/>
  <c r="R15" i="1"/>
  <c r="R14" i="1"/>
  <c r="P16" i="1"/>
  <c r="P17" i="1"/>
  <c r="P18" i="1"/>
  <c r="P19" i="1"/>
  <c r="P20" i="1"/>
  <c r="P22" i="1"/>
  <c r="P23" i="1"/>
  <c r="P24" i="1"/>
  <c r="P25" i="1"/>
  <c r="P26" i="1"/>
  <c r="P27" i="1"/>
  <c r="P15" i="1"/>
  <c r="N16" i="1"/>
  <c r="N17" i="1"/>
  <c r="N18" i="1"/>
  <c r="N19" i="1"/>
  <c r="N20" i="1"/>
  <c r="N21" i="1"/>
  <c r="N22" i="1"/>
  <c r="N23" i="1"/>
  <c r="N24" i="1"/>
  <c r="N25" i="1"/>
  <c r="N26" i="1"/>
  <c r="N27" i="1"/>
  <c r="N15" i="1"/>
  <c r="L16" i="1"/>
  <c r="L17" i="1"/>
  <c r="L18" i="1"/>
  <c r="L19" i="1"/>
  <c r="L20" i="1"/>
  <c r="L21" i="1"/>
  <c r="L22" i="1"/>
  <c r="L23" i="1"/>
  <c r="L24" i="1"/>
  <c r="L25" i="1"/>
  <c r="L26" i="1"/>
  <c r="L27" i="1"/>
  <c r="L15" i="1"/>
  <c r="L14" i="1"/>
  <c r="R4" i="1"/>
  <c r="R5" i="1"/>
  <c r="R6" i="1"/>
  <c r="R7" i="1"/>
  <c r="R8" i="1"/>
  <c r="R9" i="1"/>
  <c r="R10" i="1"/>
  <c r="R3" i="1"/>
  <c r="R2" i="1"/>
  <c r="P4" i="1"/>
  <c r="P5" i="1"/>
  <c r="P6" i="1"/>
  <c r="P7" i="1"/>
  <c r="P8" i="1"/>
  <c r="P9" i="1"/>
  <c r="P10" i="1"/>
  <c r="P2" i="1"/>
  <c r="N4" i="1"/>
  <c r="N5" i="1"/>
  <c r="N6" i="1"/>
  <c r="N7" i="1"/>
  <c r="N8" i="1"/>
  <c r="N9" i="1"/>
  <c r="N10" i="1"/>
  <c r="N3" i="1"/>
  <c r="N2" i="1"/>
  <c r="L4" i="1"/>
  <c r="L5" i="1"/>
  <c r="L6" i="1"/>
  <c r="L7" i="1"/>
  <c r="L8" i="1"/>
  <c r="L9" i="1"/>
  <c r="L10" i="1"/>
  <c r="L3" i="1"/>
  <c r="L2" i="1"/>
  <c r="H11" i="1"/>
  <c r="I2" i="1"/>
  <c r="H28" i="1"/>
  <c r="T28" i="1"/>
  <c r="K28" i="1"/>
  <c r="L28" i="1" s="1"/>
  <c r="G28" i="1"/>
  <c r="F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N14" i="1"/>
  <c r="I14" i="1"/>
  <c r="Q11" i="1"/>
  <c r="R11" i="1" s="1"/>
  <c r="O11" i="1"/>
  <c r="P11" i="1" s="1"/>
  <c r="M11" i="1"/>
  <c r="N11" i="1" s="1"/>
  <c r="K11" i="1"/>
  <c r="L11" i="1" s="1"/>
  <c r="G11" i="1"/>
  <c r="F11" i="1"/>
  <c r="U10" i="1"/>
  <c r="I10" i="1"/>
  <c r="I9" i="1"/>
  <c r="I8" i="1"/>
  <c r="I7" i="1"/>
  <c r="I6" i="1"/>
  <c r="I5" i="1"/>
  <c r="I4" i="1"/>
  <c r="I3" i="1"/>
  <c r="T11" i="1" l="1"/>
  <c r="I11" i="1"/>
  <c r="M28" i="1"/>
  <c r="N28" i="1" s="1"/>
  <c r="P14" i="1"/>
  <c r="P21" i="1"/>
  <c r="R25" i="1"/>
  <c r="I28" i="1"/>
  <c r="O28" i="1" l="1"/>
  <c r="P28" i="1" s="1"/>
  <c r="Q28" i="1" l="1"/>
  <c r="R28" i="1" s="1"/>
</calcChain>
</file>

<file path=xl/sharedStrings.xml><?xml version="1.0" encoding="utf-8"?>
<sst xmlns="http://schemas.openxmlformats.org/spreadsheetml/2006/main" count="313" uniqueCount="165">
  <si>
    <t>INCOME</t>
  </si>
  <si>
    <t>AGREED BUDGET 2021-22</t>
  </si>
  <si>
    <t>End of year 2021-22</t>
  </si>
  <si>
    <t>Forecast for 2022-23</t>
  </si>
  <si>
    <t>2022-23 AGREED BUDGET</t>
  </si>
  <si>
    <t>2023-24 AGREED BUDGET</t>
  </si>
  <si>
    <t>2024-25 AGREED BUDGET</t>
  </si>
  <si>
    <t>2025-26 AGREED BUDGET</t>
  </si>
  <si>
    <t>%change from previous year</t>
  </si>
  <si>
    <t>First Quarter</t>
  </si>
  <si>
    <t>% of budget obtained</t>
  </si>
  <si>
    <t>Bi-annual</t>
  </si>
  <si>
    <t>Third Quarter</t>
  </si>
  <si>
    <t>Year End</t>
  </si>
  <si>
    <t>over/under since 2022</t>
  </si>
  <si>
    <t>parish tax rate</t>
  </si>
  <si>
    <t>previous parish tax rate</t>
  </si>
  <si>
    <t>PRECEPT</t>
  </si>
  <si>
    <t>RUSH BUTTS</t>
  </si>
  <si>
    <t>£3.62 increase on D band</t>
  </si>
  <si>
    <t>TOWN ALLOTMENTS</t>
  </si>
  <si>
    <t>INTEREST</t>
  </si>
  <si>
    <t>WAYLEAVE</t>
  </si>
  <si>
    <t>this year and 2 years back pay</t>
  </si>
  <si>
    <t>Refund/cashback</t>
  </si>
  <si>
    <t>cashback Virgin</t>
  </si>
  <si>
    <t>Donations</t>
  </si>
  <si>
    <t>£ -</t>
  </si>
  <si>
    <t>playground fundraising</t>
  </si>
  <si>
    <t>NEIGHBOURHOOD PLAN</t>
  </si>
  <si>
    <t>LCC payment</t>
  </si>
  <si>
    <t>cancelled</t>
  </si>
  <si>
    <t>TOTAL INCOME</t>
  </si>
  <si>
    <t>PAYMENTS</t>
  </si>
  <si>
    <t>AGREED BUDGET 2020-21</t>
  </si>
  <si>
    <t>End of year 2020-21</t>
  </si>
  <si>
    <t>Forecast for 2021-22</t>
  </si>
  <si>
    <t>2021-22 AGREED BUDGET</t>
  </si>
  <si>
    <t>2023-24 AGREED EXPENDITURE</t>
  </si>
  <si>
    <t>2025-26 AGREED EXPENDITURE</t>
  </si>
  <si>
    <t>% of budget used</t>
  </si>
  <si>
    <t>reasons for proposed budget</t>
  </si>
  <si>
    <t>LENGTHSMAN</t>
  </si>
  <si>
    <t>CLERK</t>
  </si>
  <si>
    <t>current wage + potential 3% increase</t>
  </si>
  <si>
    <t>HMRC TAX</t>
  </si>
  <si>
    <t>EXT AUDIT</t>
  </si>
  <si>
    <t>INSURANCE</t>
  </si>
  <si>
    <t>most insurance increasing by approx 30%</t>
  </si>
  <si>
    <t>LALC/ICO</t>
  </si>
  <si>
    <t>ico is £40 annually - Clerk does not anticipate any further training requirements next year</t>
  </si>
  <si>
    <t>TRAINING</t>
  </si>
  <si>
    <t>reserve for cllr training</t>
  </si>
  <si>
    <t>STATIONERY/OFFICE EXPENSES/ WEBSITE</t>
  </si>
  <si>
    <t>Big expense this year was laptop etc., Website was £312 next year: website £250, misc £100, subs for antivirus etc £100</t>
  </si>
  <si>
    <t>PLAYGROUND RENT/ MAINTENANCE/ BLOOMING WRAY</t>
  </si>
  <si>
    <t>NEIGHBOURHOOD PLANNING</t>
  </si>
  <si>
    <t>TREE ASSESSMENT</t>
  </si>
  <si>
    <t>Increased based on cost of tree work this year</t>
  </si>
  <si>
    <t>CONTINGENCY - VILLAGE PROJECTS</t>
  </si>
  <si>
    <t>£75 defib repair + £300 maintenance, painting railings on Flood Gardens (£1530 of this year's is for Land valuation report)</t>
  </si>
  <si>
    <t>Rent for land</t>
  </si>
  <si>
    <t>(Car parking/playground refurb)</t>
  </si>
  <si>
    <t>TOTAL PAYMENTS</t>
  </si>
  <si>
    <t>3 year reveiw Apr 2022-25</t>
  </si>
  <si>
    <t>bank balance Oct 2025</t>
  </si>
  <si>
    <t>allocated and unused from April2022-25</t>
  </si>
  <si>
    <t>unallocated and unused from April 2022-25</t>
  </si>
  <si>
    <t>recommendation for unallocated</t>
  </si>
  <si>
    <t>general reserve</t>
  </si>
  <si>
    <t>for unexpected costs such as legal fees etc</t>
  </si>
  <si>
    <t>earmarked reserves</t>
  </si>
  <si>
    <t>to be allocated to specific projects</t>
  </si>
  <si>
    <t>Santander Bank Reconciliation 2024-25</t>
  </si>
  <si>
    <t>virgin</t>
  </si>
  <si>
    <t>santander</t>
  </si>
  <si>
    <t>NS&amp;I</t>
  </si>
  <si>
    <t>Total opening funds + income</t>
  </si>
  <si>
    <t>Opening Funds</t>
  </si>
  <si>
    <t>Income</t>
  </si>
  <si>
    <t>Total expenses</t>
  </si>
  <si>
    <t>Expense</t>
  </si>
  <si>
    <t xml:space="preserve">Expected closing funds </t>
  </si>
  <si>
    <t>Discrepancy</t>
  </si>
  <si>
    <t>Closing Funds</t>
  </si>
  <si>
    <t>£170 still in Santander</t>
  </si>
  <si>
    <t>Other items</t>
  </si>
  <si>
    <t>Consolidated accounts</t>
  </si>
  <si>
    <t>Bank Balance from statement</t>
  </si>
  <si>
    <t>Up to date as of 09/04/2026</t>
  </si>
  <si>
    <t>discrepancy</t>
  </si>
  <si>
    <t>Misc</t>
  </si>
  <si>
    <t xml:space="preserve">Expected Income </t>
  </si>
  <si>
    <t>Received Income</t>
  </si>
  <si>
    <t>A</t>
  </si>
  <si>
    <t>Precept</t>
  </si>
  <si>
    <t>B</t>
  </si>
  <si>
    <t>Rushbutts</t>
  </si>
  <si>
    <t>C</t>
  </si>
  <si>
    <t>Wayleave payment</t>
  </si>
  <si>
    <t>Cashback on Virgin</t>
  </si>
  <si>
    <t>D</t>
  </si>
  <si>
    <t>Parish Field Payment</t>
  </si>
  <si>
    <t>E</t>
  </si>
  <si>
    <t>PROW grant LCC</t>
  </si>
  <si>
    <t>grant terminated by LCC</t>
  </si>
  <si>
    <t>F</t>
  </si>
  <si>
    <t>Playground fundraising</t>
  </si>
  <si>
    <t>G</t>
  </si>
  <si>
    <t>Groundworks grant for N.P.</t>
  </si>
  <si>
    <t>Total</t>
  </si>
  <si>
    <t>not received</t>
  </si>
  <si>
    <t xml:space="preserve">       Date</t>
  </si>
  <si>
    <t>No</t>
  </si>
  <si>
    <t>Cheque/BACS</t>
  </si>
  <si>
    <t xml:space="preserve">               Payee</t>
  </si>
  <si>
    <t xml:space="preserve">                      Description</t>
  </si>
  <si>
    <t>Amount</t>
  </si>
  <si>
    <t>VAT</t>
  </si>
  <si>
    <t>Insurance</t>
  </si>
  <si>
    <t>Audit</t>
  </si>
  <si>
    <t>SLCC/LALC</t>
  </si>
  <si>
    <t>Wages</t>
  </si>
  <si>
    <t>Expenses</t>
  </si>
  <si>
    <t>Rep/Main</t>
  </si>
  <si>
    <t>Village greens</t>
  </si>
  <si>
    <t>NP</t>
  </si>
  <si>
    <t>Miscellaneous</t>
  </si>
  <si>
    <t>Rent</t>
  </si>
  <si>
    <t>bacs</t>
  </si>
  <si>
    <t>R. Curwen</t>
  </si>
  <si>
    <t>Lengthsman</t>
  </si>
  <si>
    <t>SC Signs Ltd</t>
  </si>
  <si>
    <t>Playground signs</t>
  </si>
  <si>
    <t>A. Harrison</t>
  </si>
  <si>
    <t>Clerk's wages</t>
  </si>
  <si>
    <t>HMRC Sdds</t>
  </si>
  <si>
    <t>PAYE</t>
  </si>
  <si>
    <t>LALC</t>
  </si>
  <si>
    <t>membership</t>
  </si>
  <si>
    <t>C. Halstead</t>
  </si>
  <si>
    <t>AJ Gallagher</t>
  </si>
  <si>
    <t>a. Harrison</t>
  </si>
  <si>
    <t>reimburse clerk for dog poo bags</t>
  </si>
  <si>
    <t>D. Wootton</t>
  </si>
  <si>
    <t>Accountant</t>
  </si>
  <si>
    <t>Local Authority Te</t>
  </si>
  <si>
    <t>Parish Online mapping</t>
  </si>
  <si>
    <t>Local Authority</t>
  </si>
  <si>
    <t>Parish Online website</t>
  </si>
  <si>
    <t>ICO</t>
  </si>
  <si>
    <t>GDPR</t>
  </si>
  <si>
    <t>Microsoft</t>
  </si>
  <si>
    <t>Microsoft 365</t>
  </si>
  <si>
    <t>Greenbarnes Ltd.</t>
  </si>
  <si>
    <t>Bench</t>
  </si>
  <si>
    <t>James Staveley</t>
  </si>
  <si>
    <t>Land rent</t>
  </si>
  <si>
    <t>Harrison Drury Solicitors (V.I)</t>
  </si>
  <si>
    <t>Solicitors - Village Institute transfer</t>
  </si>
  <si>
    <t>Mcafee subs reimbursement</t>
  </si>
  <si>
    <t>Repair playgrounds</t>
  </si>
  <si>
    <t xml:space="preserve"> Subs/don</t>
  </si>
  <si>
    <t>TOTAL</t>
  </si>
  <si>
    <t>Total by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</si>
</sst>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B050"/>
      <name val="Aptos Narrow"/>
      <family val="2"/>
      <scheme val="minor"/>
    </font>
    <font>
      <b/>
      <sz val="11"/>
      <color rgb="FF000000"/>
      <name val="Aptos Narrow"/>
      <scheme val="minor"/>
    </font>
    <font>
      <sz val="1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8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BDC8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0">
    <xf numFmtId="0" fontId="0" fillId="0" borderId="0" xfId="0"/>
    <xf numFmtId="0" fontId="2" fillId="0" borderId="1" xfId="0" applyFont="1" applyBorder="1" applyAlignment="1">
      <alignment wrapText="1"/>
    </xf>
    <xf numFmtId="0" fontId="2" fillId="2" borderId="2" xfId="0" applyFont="1" applyFill="1" applyBorder="1" applyAlignment="1">
      <alignment horizontal="right" wrapText="1"/>
    </xf>
    <xf numFmtId="0" fontId="2" fillId="0" borderId="2" xfId="0" applyFont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0" borderId="0" xfId="0" applyFont="1" applyAlignment="1">
      <alignment vertical="center" wrapText="1"/>
    </xf>
    <xf numFmtId="10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0" fillId="0" borderId="4" xfId="0" applyBorder="1" applyAlignment="1">
      <alignment wrapText="1"/>
    </xf>
    <xf numFmtId="8" fontId="0" fillId="2" borderId="5" xfId="0" applyNumberFormat="1" applyFill="1" applyBorder="1" applyAlignment="1">
      <alignment horizontal="right" wrapText="1"/>
    </xf>
    <xf numFmtId="8" fontId="0" fillId="0" borderId="5" xfId="0" applyNumberFormat="1" applyBorder="1" applyAlignment="1">
      <alignment horizontal="right" wrapText="1"/>
    </xf>
    <xf numFmtId="10" fontId="0" fillId="0" borderId="5" xfId="0" applyNumberFormat="1" applyBorder="1" applyAlignment="1">
      <alignment horizontal="right" wrapText="1"/>
    </xf>
    <xf numFmtId="164" fontId="0" fillId="0" borderId="6" xfId="0" applyNumberFormat="1" applyBorder="1"/>
    <xf numFmtId="10" fontId="0" fillId="0" borderId="0" xfId="0" applyNumberFormat="1"/>
    <xf numFmtId="0" fontId="0" fillId="0" borderId="5" xfId="0" applyBorder="1" applyAlignment="1">
      <alignment horizontal="right" wrapText="1"/>
    </xf>
    <xf numFmtId="0" fontId="0" fillId="0" borderId="5" xfId="0" applyBorder="1" applyAlignment="1">
      <alignment wrapText="1"/>
    </xf>
    <xf numFmtId="0" fontId="0" fillId="2" borderId="5" xfId="0" applyFill="1" applyBorder="1" applyAlignment="1">
      <alignment wrapText="1"/>
    </xf>
    <xf numFmtId="164" fontId="0" fillId="0" borderId="0" xfId="0" applyNumberFormat="1"/>
    <xf numFmtId="0" fontId="2" fillId="2" borderId="4" xfId="0" applyFont="1" applyFill="1" applyBorder="1" applyAlignment="1">
      <alignment wrapText="1"/>
    </xf>
    <xf numFmtId="0" fontId="2" fillId="2" borderId="5" xfId="0" applyFont="1" applyFill="1" applyBorder="1" applyAlignment="1">
      <alignment horizontal="right" wrapText="1"/>
    </xf>
    <xf numFmtId="164" fontId="0" fillId="3" borderId="6" xfId="0" applyNumberFormat="1" applyFill="1" applyBorder="1"/>
    <xf numFmtId="8" fontId="2" fillId="2" borderId="5" xfId="0" applyNumberFormat="1" applyFont="1" applyFill="1" applyBorder="1" applyAlignment="1">
      <alignment horizontal="right" wrapText="1"/>
    </xf>
    <xf numFmtId="10" fontId="3" fillId="0" borderId="5" xfId="0" applyNumberFormat="1" applyFont="1" applyBorder="1" applyAlignment="1">
      <alignment horizontal="right" wrapText="1"/>
    </xf>
    <xf numFmtId="0" fontId="2" fillId="6" borderId="4" xfId="0" applyFont="1" applyFill="1" applyBorder="1" applyAlignment="1">
      <alignment wrapText="1"/>
    </xf>
    <xf numFmtId="0" fontId="2" fillId="6" borderId="2" xfId="0" applyFont="1" applyFill="1" applyBorder="1" applyAlignment="1">
      <alignment horizontal="right" wrapText="1"/>
    </xf>
    <xf numFmtId="0" fontId="2" fillId="6" borderId="2" xfId="0" applyFont="1" applyFill="1" applyBorder="1" applyAlignment="1">
      <alignment wrapText="1"/>
    </xf>
    <xf numFmtId="0" fontId="0" fillId="2" borderId="5" xfId="0" applyFill="1" applyBorder="1" applyAlignment="1">
      <alignment horizontal="right" wrapText="1"/>
    </xf>
    <xf numFmtId="0" fontId="0" fillId="0" borderId="0" xfId="0" applyAlignment="1">
      <alignment wrapText="1"/>
    </xf>
    <xf numFmtId="0" fontId="0" fillId="0" borderId="8" xfId="0" applyBorder="1" applyAlignment="1">
      <alignment vertical="center"/>
    </xf>
    <xf numFmtId="0" fontId="0" fillId="5" borderId="0" xfId="0" applyFill="1"/>
    <xf numFmtId="0" fontId="2" fillId="3" borderId="9" xfId="0" applyFont="1" applyFill="1" applyBorder="1" applyAlignment="1">
      <alignment wrapText="1"/>
    </xf>
    <xf numFmtId="0" fontId="0" fillId="3" borderId="9" xfId="0" applyFill="1" applyBorder="1"/>
    <xf numFmtId="0" fontId="2" fillId="5" borderId="10" xfId="0" applyFont="1" applyFill="1" applyBorder="1" applyAlignment="1">
      <alignment wrapText="1"/>
    </xf>
    <xf numFmtId="8" fontId="0" fillId="5" borderId="11" xfId="0" applyNumberFormat="1" applyFill="1" applyBorder="1" applyAlignment="1">
      <alignment horizontal="right" wrapText="1"/>
    </xf>
    <xf numFmtId="0" fontId="0" fillId="5" borderId="11" xfId="0" applyFill="1" applyBorder="1" applyAlignment="1">
      <alignment wrapText="1"/>
    </xf>
    <xf numFmtId="164" fontId="0" fillId="5" borderId="12" xfId="0" applyNumberFormat="1" applyFill="1" applyBorder="1"/>
    <xf numFmtId="0" fontId="2" fillId="0" borderId="13" xfId="0" applyFont="1" applyBorder="1" applyAlignment="1">
      <alignment wrapText="1"/>
    </xf>
    <xf numFmtId="10" fontId="0" fillId="4" borderId="14" xfId="0" applyNumberFormat="1" applyFill="1" applyBorder="1" applyAlignment="1">
      <alignment horizontal="right" wrapText="1"/>
    </xf>
    <xf numFmtId="0" fontId="0" fillId="0" borderId="14" xfId="0" applyBorder="1" applyAlignment="1">
      <alignment wrapText="1"/>
    </xf>
    <xf numFmtId="0" fontId="2" fillId="6" borderId="13" xfId="0" applyFont="1" applyFill="1" applyBorder="1" applyAlignment="1">
      <alignment wrapText="1"/>
    </xf>
    <xf numFmtId="10" fontId="0" fillId="7" borderId="14" xfId="0" applyNumberFormat="1" applyFill="1" applyBorder="1" applyAlignment="1">
      <alignment horizontal="right" wrapText="1"/>
    </xf>
    <xf numFmtId="0" fontId="4" fillId="3" borderId="9" xfId="0" applyFont="1" applyFill="1" applyBorder="1" applyAlignment="1">
      <alignment wrapText="1"/>
    </xf>
    <xf numFmtId="0" fontId="0" fillId="5" borderId="3" xfId="0" applyFill="1" applyBorder="1"/>
    <xf numFmtId="0" fontId="0" fillId="5" borderId="7" xfId="0" applyFill="1" applyBorder="1"/>
    <xf numFmtId="8" fontId="0" fillId="0" borderId="0" xfId="0" applyNumberFormat="1"/>
    <xf numFmtId="44" fontId="5" fillId="0" borderId="15" xfId="1" applyFont="1" applyBorder="1" applyAlignment="1">
      <alignment horizontal="left" wrapText="1"/>
    </xf>
    <xf numFmtId="8" fontId="0" fillId="0" borderId="0" xfId="0" applyNumberFormat="1" applyAlignment="1">
      <alignment wrapText="1"/>
    </xf>
    <xf numFmtId="14" fontId="0" fillId="0" borderId="0" xfId="0" applyNumberFormat="1"/>
    <xf numFmtId="0" fontId="5" fillId="0" borderId="16" xfId="0" applyFont="1" applyBorder="1" applyAlignment="1">
      <alignment horizontal="left" wrapText="1"/>
    </xf>
    <xf numFmtId="44" fontId="1" fillId="0" borderId="6" xfId="1" applyFont="1" applyBorder="1" applyAlignment="1">
      <alignment horizontal="left" wrapText="1"/>
    </xf>
    <xf numFmtId="44" fontId="5" fillId="0" borderId="6" xfId="1" applyFont="1" applyBorder="1" applyAlignment="1">
      <alignment horizontal="left" wrapText="1"/>
    </xf>
    <xf numFmtId="44" fontId="5" fillId="0" borderId="17" xfId="1" applyFont="1" applyBorder="1" applyAlignment="1">
      <alignment horizontal="left" wrapText="1"/>
    </xf>
    <xf numFmtId="44" fontId="1" fillId="8" borderId="6" xfId="1" applyFont="1" applyFill="1" applyBorder="1" applyAlignment="1">
      <alignment horizontal="left" wrapText="1"/>
    </xf>
    <xf numFmtId="44" fontId="5" fillId="8" borderId="17" xfId="1" applyFont="1" applyFill="1" applyBorder="1" applyAlignment="1">
      <alignment horizontal="left" wrapText="1"/>
    </xf>
    <xf numFmtId="6" fontId="1" fillId="8" borderId="6" xfId="1" applyNumberFormat="1" applyFont="1" applyFill="1" applyBorder="1" applyAlignment="1">
      <alignment horizontal="left" wrapText="1"/>
    </xf>
    <xf numFmtId="44" fontId="1" fillId="9" borderId="6" xfId="1" applyFont="1" applyFill="1" applyBorder="1" applyAlignment="1">
      <alignment horizontal="left" wrapText="1"/>
    </xf>
    <xf numFmtId="44" fontId="5" fillId="9" borderId="17" xfId="1" applyFont="1" applyFill="1" applyBorder="1" applyAlignment="1">
      <alignment horizontal="left" wrapText="1"/>
    </xf>
    <xf numFmtId="0" fontId="5" fillId="0" borderId="18" xfId="0" applyFont="1" applyBorder="1" applyAlignment="1">
      <alignment horizontal="left" wrapText="1"/>
    </xf>
    <xf numFmtId="44" fontId="1" fillId="9" borderId="19" xfId="1" applyFont="1" applyFill="1" applyBorder="1" applyAlignment="1">
      <alignment horizontal="left" wrapText="1"/>
    </xf>
    <xf numFmtId="44" fontId="5" fillId="0" borderId="19" xfId="1" applyFont="1" applyBorder="1" applyAlignment="1">
      <alignment horizontal="left" wrapText="1"/>
    </xf>
    <xf numFmtId="44" fontId="5" fillId="9" borderId="20" xfId="1" applyFont="1" applyFill="1" applyBorder="1" applyAlignment="1">
      <alignment horizontal="left" wrapText="1"/>
    </xf>
    <xf numFmtId="0" fontId="5" fillId="0" borderId="21" xfId="0" applyFont="1" applyBorder="1" applyAlignment="1">
      <alignment horizontal="left" wrapText="1"/>
    </xf>
    <xf numFmtId="44" fontId="1" fillId="0" borderId="22" xfId="1" applyFont="1" applyBorder="1" applyAlignment="1">
      <alignment horizontal="left" wrapText="1"/>
    </xf>
    <xf numFmtId="44" fontId="5" fillId="0" borderId="22" xfId="1" applyFont="1" applyBorder="1" applyAlignment="1">
      <alignment horizontal="left" wrapText="1"/>
    </xf>
    <xf numFmtId="14" fontId="2" fillId="0" borderId="23" xfId="1" applyNumberFormat="1" applyFont="1" applyBorder="1" applyAlignment="1">
      <alignment horizontal="center" textRotation="90" wrapText="1"/>
    </xf>
    <xf numFmtId="0" fontId="2" fillId="0" borderId="24" xfId="1" applyNumberFormat="1" applyFont="1" applyBorder="1" applyAlignment="1">
      <alignment horizontal="center" textRotation="90" wrapText="1"/>
    </xf>
    <xf numFmtId="0" fontId="2" fillId="0" borderId="24" xfId="0" applyFont="1" applyBorder="1" applyAlignment="1">
      <alignment horizontal="center" textRotation="90" wrapText="1"/>
    </xf>
    <xf numFmtId="164" fontId="2" fillId="0" borderId="24" xfId="1" applyNumberFormat="1" applyFont="1" applyBorder="1" applyAlignment="1">
      <alignment horizontal="center" textRotation="90" wrapText="1"/>
    </xf>
    <xf numFmtId="164" fontId="2" fillId="0" borderId="25" xfId="1" applyNumberFormat="1" applyFont="1" applyBorder="1" applyAlignment="1">
      <alignment horizontal="center" textRotation="90" wrapText="1"/>
    </xf>
    <xf numFmtId="164" fontId="2" fillId="0" borderId="26" xfId="1" applyNumberFormat="1" applyFont="1" applyBorder="1" applyAlignment="1">
      <alignment horizontal="center" textRotation="90" wrapText="1"/>
    </xf>
    <xf numFmtId="164" fontId="2" fillId="0" borderId="19" xfId="1" applyNumberFormat="1" applyFont="1" applyBorder="1" applyAlignment="1">
      <alignment horizontal="center" textRotation="90" wrapText="1"/>
    </xf>
    <xf numFmtId="164" fontId="2" fillId="3" borderId="19" xfId="1" applyNumberFormat="1" applyFont="1" applyFill="1" applyBorder="1" applyAlignment="1">
      <alignment horizontal="center" textRotation="90" wrapText="1"/>
    </xf>
    <xf numFmtId="164" fontId="2" fillId="6" borderId="19" xfId="1" applyNumberFormat="1" applyFont="1" applyFill="1" applyBorder="1" applyAlignment="1">
      <alignment horizontal="center" textRotation="90" wrapText="1"/>
    </xf>
    <xf numFmtId="164" fontId="2" fillId="8" borderId="19" xfId="1" applyNumberFormat="1" applyFont="1" applyFill="1" applyBorder="1" applyAlignment="1">
      <alignment horizontal="center" textRotation="90" wrapText="1"/>
    </xf>
    <xf numFmtId="14" fontId="0" fillId="0" borderId="6" xfId="0" applyNumberFormat="1" applyBorder="1"/>
    <xf numFmtId="0" fontId="0" fillId="0" borderId="6" xfId="0" applyBorder="1"/>
    <xf numFmtId="164" fontId="0" fillId="6" borderId="6" xfId="0" applyNumberFormat="1" applyFill="1" applyBorder="1"/>
    <xf numFmtId="164" fontId="0" fillId="8" borderId="6" xfId="0" applyNumberFormat="1" applyFill="1" applyBorder="1"/>
    <xf numFmtId="164" fontId="1" fillId="0" borderId="6" xfId="1" applyNumberFormat="1" applyFont="1" applyBorder="1" applyAlignment="1">
      <alignment horizontal="left" wrapText="1"/>
    </xf>
    <xf numFmtId="164" fontId="0" fillId="0" borderId="6" xfId="0" applyNumberFormat="1" applyBorder="1" applyAlignment="1">
      <alignment wrapText="1"/>
    </xf>
    <xf numFmtId="14" fontId="0" fillId="0" borderId="27" xfId="0" applyNumberFormat="1" applyBorder="1" applyAlignment="1">
      <alignment wrapText="1"/>
    </xf>
    <xf numFmtId="0" fontId="0" fillId="0" borderId="28" xfId="0" applyBorder="1" applyAlignment="1">
      <alignment wrapText="1"/>
    </xf>
    <xf numFmtId="164" fontId="0" fillId="0" borderId="28" xfId="0" applyNumberFormat="1" applyBorder="1" applyAlignment="1">
      <alignment wrapText="1"/>
    </xf>
    <xf numFmtId="164" fontId="0" fillId="0" borderId="29" xfId="0" applyNumberFormat="1" applyBorder="1" applyAlignment="1">
      <alignment wrapText="1"/>
    </xf>
    <xf numFmtId="164" fontId="0" fillId="0" borderId="30" xfId="0" applyNumberFormat="1" applyBorder="1" applyAlignment="1">
      <alignment wrapText="1"/>
    </xf>
    <xf numFmtId="164" fontId="0" fillId="3" borderId="28" xfId="0" applyNumberFormat="1" applyFill="1" applyBorder="1" applyAlignment="1">
      <alignment wrapText="1"/>
    </xf>
    <xf numFmtId="164" fontId="0" fillId="6" borderId="28" xfId="0" applyNumberFormat="1" applyFill="1" applyBorder="1" applyAlignment="1">
      <alignment wrapText="1"/>
    </xf>
    <xf numFmtId="164" fontId="0" fillId="8" borderId="28" xfId="0" applyNumberFormat="1" applyFill="1" applyBorder="1" applyAlignment="1">
      <alignment wrapText="1"/>
    </xf>
    <xf numFmtId="14" fontId="0" fillId="0" borderId="16" xfId="0" applyNumberFormat="1" applyBorder="1" applyAlignment="1">
      <alignment wrapText="1"/>
    </xf>
    <xf numFmtId="0" fontId="0" fillId="0" borderId="6" xfId="0" applyBorder="1" applyAlignment="1">
      <alignment wrapText="1"/>
    </xf>
    <xf numFmtId="164" fontId="0" fillId="0" borderId="17" xfId="0" applyNumberFormat="1" applyBorder="1" applyAlignment="1">
      <alignment wrapText="1"/>
    </xf>
    <xf numFmtId="164" fontId="0" fillId="0" borderId="31" xfId="0" applyNumberFormat="1" applyBorder="1" applyAlignment="1">
      <alignment wrapText="1"/>
    </xf>
    <xf numFmtId="164" fontId="0" fillId="3" borderId="6" xfId="0" applyNumberFormat="1" applyFill="1" applyBorder="1" applyAlignment="1">
      <alignment wrapText="1"/>
    </xf>
    <xf numFmtId="164" fontId="0" fillId="6" borderId="6" xfId="0" applyNumberFormat="1" applyFill="1" applyBorder="1" applyAlignment="1">
      <alignment wrapText="1"/>
    </xf>
    <xf numFmtId="164" fontId="0" fillId="8" borderId="6" xfId="0" applyNumberFormat="1" applyFill="1" applyBorder="1" applyAlignment="1">
      <alignment wrapText="1"/>
    </xf>
    <xf numFmtId="0" fontId="1" fillId="0" borderId="6" xfId="1" applyNumberFormat="1" applyFont="1" applyBorder="1" applyAlignment="1">
      <alignment horizontal="left" wrapText="1"/>
    </xf>
    <xf numFmtId="164" fontId="0" fillId="0" borderId="0" xfId="0" applyNumberFormat="1" applyAlignment="1">
      <alignment wrapText="1"/>
    </xf>
    <xf numFmtId="14" fontId="1" fillId="0" borderId="16" xfId="1" applyNumberFormat="1" applyFont="1" applyBorder="1" applyAlignment="1">
      <alignment horizontal="left" textRotation="90" wrapText="1"/>
    </xf>
    <xf numFmtId="0" fontId="1" fillId="0" borderId="6" xfId="1" applyNumberFormat="1" applyFont="1" applyBorder="1" applyAlignment="1">
      <alignment horizontal="left" textRotation="90" wrapText="1"/>
    </xf>
    <xf numFmtId="0" fontId="1" fillId="0" borderId="6" xfId="0" applyFont="1" applyBorder="1" applyAlignment="1">
      <alignment horizontal="left" textRotation="90" wrapText="1"/>
    </xf>
    <xf numFmtId="164" fontId="1" fillId="0" borderId="6" xfId="1" applyNumberFormat="1" applyFont="1" applyBorder="1" applyAlignment="1">
      <alignment horizontal="left" textRotation="90" wrapText="1"/>
    </xf>
    <xf numFmtId="164" fontId="2" fillId="0" borderId="6" xfId="1" applyNumberFormat="1" applyFont="1" applyBorder="1" applyAlignment="1">
      <alignment horizontal="left" textRotation="90" wrapText="1"/>
    </xf>
    <xf numFmtId="164" fontId="2" fillId="0" borderId="17" xfId="1" applyNumberFormat="1" applyFont="1" applyBorder="1" applyAlignment="1">
      <alignment horizontal="left" textRotation="90" wrapText="1"/>
    </xf>
    <xf numFmtId="164" fontId="2" fillId="0" borderId="31" xfId="1" applyNumberFormat="1" applyFont="1" applyBorder="1" applyAlignment="1">
      <alignment horizontal="left" textRotation="90" wrapText="1"/>
    </xf>
    <xf numFmtId="164" fontId="2" fillId="3" borderId="6" xfId="1" applyNumberFormat="1" applyFont="1" applyFill="1" applyBorder="1" applyAlignment="1">
      <alignment horizontal="left" textRotation="90" wrapText="1"/>
    </xf>
    <xf numFmtId="164" fontId="2" fillId="6" borderId="6" xfId="1" applyNumberFormat="1" applyFont="1" applyFill="1" applyBorder="1" applyAlignment="1">
      <alignment horizontal="left" textRotation="90" wrapText="1"/>
    </xf>
    <xf numFmtId="164" fontId="2" fillId="8" borderId="6" xfId="1" applyNumberFormat="1" applyFont="1" applyFill="1" applyBorder="1" applyAlignment="1">
      <alignment horizontal="left" textRotation="90" wrapText="1"/>
    </xf>
    <xf numFmtId="164" fontId="2" fillId="0" borderId="0" xfId="0" applyNumberFormat="1" applyFont="1" applyAlignment="1">
      <alignment textRotation="90" wrapText="1"/>
    </xf>
    <xf numFmtId="14" fontId="6" fillId="0" borderId="21" xfId="0" applyNumberFormat="1" applyFont="1" applyBorder="1" applyAlignment="1">
      <alignment wrapText="1"/>
    </xf>
    <xf numFmtId="0" fontId="6" fillId="0" borderId="22" xfId="1" applyNumberFormat="1" applyFont="1" applyBorder="1" applyAlignment="1">
      <alignment horizontal="left" wrapText="1"/>
    </xf>
    <xf numFmtId="0" fontId="6" fillId="0" borderId="22" xfId="0" applyFont="1" applyBorder="1" applyAlignment="1">
      <alignment wrapText="1"/>
    </xf>
    <xf numFmtId="164" fontId="6" fillId="0" borderId="22" xfId="0" applyNumberFormat="1" applyFont="1" applyBorder="1" applyAlignment="1">
      <alignment wrapText="1"/>
    </xf>
    <xf numFmtId="164" fontId="6" fillId="0" borderId="15" xfId="0" applyNumberFormat="1" applyFont="1" applyBorder="1" applyAlignment="1">
      <alignment wrapText="1"/>
    </xf>
    <xf numFmtId="164" fontId="6" fillId="0" borderId="31" xfId="0" applyNumberFormat="1" applyFont="1" applyBorder="1" applyAlignment="1">
      <alignment wrapText="1"/>
    </xf>
    <xf numFmtId="164" fontId="6" fillId="0" borderId="6" xfId="0" applyNumberFormat="1" applyFont="1" applyBorder="1" applyAlignment="1">
      <alignment wrapText="1"/>
    </xf>
    <xf numFmtId="164" fontId="6" fillId="3" borderId="6" xfId="0" applyNumberFormat="1" applyFont="1" applyFill="1" applyBorder="1" applyAlignment="1">
      <alignment wrapText="1"/>
    </xf>
    <xf numFmtId="164" fontId="6" fillId="6" borderId="6" xfId="0" applyNumberFormat="1" applyFont="1" applyFill="1" applyBorder="1" applyAlignment="1">
      <alignment wrapText="1"/>
    </xf>
    <xf numFmtId="164" fontId="6" fillId="8" borderId="6" xfId="0" applyNumberFormat="1" applyFont="1" applyFill="1" applyBorder="1" applyAlignment="1">
      <alignment wrapText="1"/>
    </xf>
    <xf numFmtId="164" fontId="6" fillId="0" borderId="0" xfId="0" applyNumberFormat="1" applyFont="1"/>
    <xf numFmtId="0" fontId="2" fillId="0" borderId="0" xfId="0" applyFont="1"/>
    <xf numFmtId="0" fontId="0" fillId="0" borderId="9" xfId="0" applyBorder="1"/>
    <xf numFmtId="0" fontId="0" fillId="0" borderId="9" xfId="0" applyBorder="1" applyAlignment="1">
      <alignment wrapText="1"/>
    </xf>
    <xf numFmtId="6" fontId="0" fillId="0" borderId="9" xfId="0" applyNumberFormat="1" applyBorder="1"/>
    <xf numFmtId="0" fontId="0" fillId="0" borderId="32" xfId="0" applyBorder="1"/>
    <xf numFmtId="0" fontId="0" fillId="0" borderId="32" xfId="0" applyBorder="1" applyAlignment="1">
      <alignment wrapText="1"/>
    </xf>
    <xf numFmtId="44" fontId="0" fillId="0" borderId="0" xfId="0" applyNumberFormat="1"/>
    <xf numFmtId="8" fontId="5" fillId="8" borderId="17" xfId="1" applyNumberFormat="1" applyFont="1" applyFill="1" applyBorder="1" applyAlignment="1">
      <alignment horizontal="left" wrapText="1"/>
    </xf>
    <xf numFmtId="0" fontId="0" fillId="8" borderId="9" xfId="0" applyFill="1" applyBorder="1"/>
    <xf numFmtId="0" fontId="0" fillId="5" borderId="9" xfId="0" applyFill="1" applyBorder="1"/>
    <xf numFmtId="0" fontId="7" fillId="8" borderId="0" xfId="0" applyFont="1" applyFill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7"/>
  <sheetViews>
    <sheetView topLeftCell="G22" workbookViewId="0">
      <selection activeCell="M16" sqref="M16"/>
    </sheetView>
  </sheetViews>
  <sheetFormatPr defaultRowHeight="15"/>
  <cols>
    <col min="2" max="2" width="13.85546875" customWidth="1"/>
    <col min="3" max="5" width="9.140625" customWidth="1"/>
    <col min="6" max="6" width="12.5703125" customWidth="1"/>
    <col min="7" max="7" width="12" style="29" customWidth="1"/>
    <col min="8" max="8" width="12" style="31" customWidth="1"/>
    <col min="9" max="9" width="9.140625" customWidth="1"/>
    <col min="10" max="10" width="9.28515625" customWidth="1"/>
    <col min="11" max="11" width="11.140625" customWidth="1"/>
    <col min="12" max="12" width="9.140625" customWidth="1"/>
    <col min="13" max="13" width="10.85546875" customWidth="1"/>
    <col min="14" max="14" width="9.140625" customWidth="1"/>
    <col min="15" max="15" width="20.42578125" customWidth="1"/>
    <col min="16" max="16" width="9.140625" customWidth="1"/>
    <col min="17" max="17" width="28.85546875" customWidth="1"/>
    <col min="18" max="18" width="36.5703125" customWidth="1"/>
    <col min="19" max="19" width="20.28515625" bestFit="1" customWidth="1"/>
    <col min="20" max="21" width="36.5703125" bestFit="1" customWidth="1"/>
    <col min="22" max="22" width="12.85546875" bestFit="1" customWidth="1"/>
    <col min="24" max="24" width="22.42578125" bestFit="1" customWidth="1"/>
  </cols>
  <sheetData>
    <row r="1" spans="1:25" ht="57.7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32" t="s">
        <v>6</v>
      </c>
      <c r="H1" s="30" t="s">
        <v>7</v>
      </c>
      <c r="I1" s="36" t="s">
        <v>8</v>
      </c>
      <c r="K1" s="5" t="s">
        <v>9</v>
      </c>
      <c r="L1" s="6" t="s">
        <v>10</v>
      </c>
      <c r="M1" s="7" t="s">
        <v>11</v>
      </c>
      <c r="N1" s="6" t="s">
        <v>10</v>
      </c>
      <c r="O1" s="5" t="s">
        <v>12</v>
      </c>
      <c r="P1" s="6" t="s">
        <v>10</v>
      </c>
      <c r="Q1" s="5" t="s">
        <v>13</v>
      </c>
      <c r="R1" s="6" t="s">
        <v>10</v>
      </c>
      <c r="S1" t="s">
        <v>14</v>
      </c>
      <c r="T1" s="42"/>
      <c r="U1" t="s">
        <v>8</v>
      </c>
      <c r="V1" t="s">
        <v>15</v>
      </c>
      <c r="W1" s="44">
        <v>52.75</v>
      </c>
      <c r="X1" t="s">
        <v>16</v>
      </c>
      <c r="Y1" s="44">
        <v>49.13</v>
      </c>
    </row>
    <row r="2" spans="1:25">
      <c r="A2" s="8" t="s">
        <v>17</v>
      </c>
      <c r="B2" s="9">
        <v>9105.77</v>
      </c>
      <c r="C2" s="10">
        <v>9106</v>
      </c>
      <c r="D2" s="11">
        <v>1</v>
      </c>
      <c r="E2" s="9">
        <v>9250</v>
      </c>
      <c r="F2" s="12">
        <v>10055</v>
      </c>
      <c r="G2" s="33">
        <v>10585</v>
      </c>
      <c r="H2" s="31">
        <v>10898.77</v>
      </c>
      <c r="I2" s="37">
        <f>SUM(H2-G2)/G2</f>
        <v>2.9642890883325501E-2</v>
      </c>
      <c r="K2">
        <v>10898.77</v>
      </c>
      <c r="L2" s="13">
        <f>SUM(K2/H2)</f>
        <v>1</v>
      </c>
      <c r="M2">
        <v>10898.77</v>
      </c>
      <c r="N2" s="13">
        <f>SUM(M2/H2)</f>
        <v>1</v>
      </c>
      <c r="O2">
        <v>10898.77</v>
      </c>
      <c r="P2" s="13">
        <f>SUM(O2/H2)</f>
        <v>1</v>
      </c>
      <c r="Q2">
        <v>10898.77</v>
      </c>
      <c r="R2" s="13">
        <f>SUM(Q2/H2)</f>
        <v>1</v>
      </c>
      <c r="T2" s="43">
        <f>SUM(12820-1410.23)</f>
        <v>11409.77</v>
      </c>
      <c r="U2">
        <f>SUM((T2-H2)/H2)*100</f>
        <v>4.6886024753251974</v>
      </c>
    </row>
    <row r="3" spans="1:25" ht="29.25">
      <c r="A3" s="8" t="s">
        <v>18</v>
      </c>
      <c r="B3" s="9">
        <v>250</v>
      </c>
      <c r="C3" s="10">
        <v>250</v>
      </c>
      <c r="D3" s="11">
        <v>1</v>
      </c>
      <c r="E3" s="9">
        <v>250</v>
      </c>
      <c r="F3" s="12">
        <v>250</v>
      </c>
      <c r="G3" s="33">
        <v>250</v>
      </c>
      <c r="H3" s="31">
        <v>250</v>
      </c>
      <c r="I3" s="37">
        <f t="shared" ref="I3:I11" si="0">SUM(G3-F3)/F3</f>
        <v>0</v>
      </c>
      <c r="K3">
        <v>250</v>
      </c>
      <c r="L3" s="13">
        <f>SUM(K3/H3)</f>
        <v>1</v>
      </c>
      <c r="M3">
        <v>250</v>
      </c>
      <c r="N3" s="13">
        <f>SUM(M3/H3)</f>
        <v>1</v>
      </c>
      <c r="O3">
        <v>500</v>
      </c>
      <c r="P3" s="13"/>
      <c r="Q3">
        <v>500</v>
      </c>
      <c r="R3" s="13">
        <f>SUM(Q3/H3)</f>
        <v>2</v>
      </c>
      <c r="X3" t="s">
        <v>19</v>
      </c>
    </row>
    <row r="4" spans="1:25" ht="43.5">
      <c r="A4" s="8" t="s">
        <v>20</v>
      </c>
      <c r="B4" s="9">
        <v>600</v>
      </c>
      <c r="C4" s="10">
        <v>600</v>
      </c>
      <c r="D4" s="11">
        <v>1</v>
      </c>
      <c r="E4" s="9">
        <v>600</v>
      </c>
      <c r="F4" s="12">
        <v>600</v>
      </c>
      <c r="G4" s="33">
        <v>600</v>
      </c>
      <c r="H4" s="31">
        <v>600</v>
      </c>
      <c r="I4" s="37">
        <f t="shared" si="0"/>
        <v>0</v>
      </c>
      <c r="K4">
        <v>600</v>
      </c>
      <c r="L4" s="13">
        <f t="shared" ref="L4" si="1">SUM(K4/H4)</f>
        <v>1</v>
      </c>
      <c r="M4">
        <v>600</v>
      </c>
      <c r="N4" s="13">
        <f t="shared" ref="N4:N11" si="2">SUM(M4/H4)</f>
        <v>1</v>
      </c>
      <c r="O4">
        <v>600</v>
      </c>
      <c r="P4" s="13">
        <f t="shared" ref="P4:P11" si="3">SUM(O4/H4)</f>
        <v>1</v>
      </c>
      <c r="Q4">
        <v>600</v>
      </c>
      <c r="R4" s="13">
        <f t="shared" ref="R4:R11" si="4">SUM(Q4/H4)</f>
        <v>1</v>
      </c>
      <c r="T4">
        <v>600</v>
      </c>
    </row>
    <row r="5" spans="1:25">
      <c r="A5" s="8" t="s">
        <v>21</v>
      </c>
      <c r="B5" s="9">
        <v>21</v>
      </c>
      <c r="C5" s="10">
        <v>0</v>
      </c>
      <c r="D5" s="11">
        <v>0</v>
      </c>
      <c r="E5" s="9">
        <v>10</v>
      </c>
      <c r="F5" s="12">
        <v>10</v>
      </c>
      <c r="G5" s="33">
        <v>10</v>
      </c>
      <c r="H5" s="31">
        <v>0</v>
      </c>
      <c r="I5" s="37">
        <f t="shared" si="0"/>
        <v>0</v>
      </c>
      <c r="K5">
        <v>0</v>
      </c>
      <c r="L5" s="13" t="e">
        <f t="shared" ref="L5" si="5">SUM(K5/H5)</f>
        <v>#DIV/0!</v>
      </c>
      <c r="M5">
        <v>0</v>
      </c>
      <c r="N5" s="13" t="e">
        <f t="shared" si="2"/>
        <v>#DIV/0!</v>
      </c>
      <c r="O5">
        <v>0</v>
      </c>
      <c r="P5" s="13" t="e">
        <f t="shared" si="3"/>
        <v>#DIV/0!</v>
      </c>
      <c r="Q5">
        <v>0</v>
      </c>
      <c r="R5" s="13" t="e">
        <f t="shared" si="4"/>
        <v>#DIV/0!</v>
      </c>
      <c r="T5">
        <v>0</v>
      </c>
    </row>
    <row r="6" spans="1:25" ht="29.25">
      <c r="A6" s="8" t="s">
        <v>22</v>
      </c>
      <c r="B6" s="9">
        <v>10</v>
      </c>
      <c r="C6" s="10">
        <v>10</v>
      </c>
      <c r="D6" s="11">
        <v>1</v>
      </c>
      <c r="E6" s="9">
        <v>10</v>
      </c>
      <c r="F6" s="12">
        <v>10</v>
      </c>
      <c r="G6" s="33">
        <v>10</v>
      </c>
      <c r="H6" s="31">
        <v>10.23</v>
      </c>
      <c r="I6" s="37">
        <f t="shared" si="0"/>
        <v>0</v>
      </c>
      <c r="K6">
        <v>33.11</v>
      </c>
      <c r="L6" s="13">
        <f t="shared" ref="L6" si="6">SUM(K6/H6)</f>
        <v>3.236559139784946</v>
      </c>
      <c r="M6">
        <v>33.11</v>
      </c>
      <c r="N6" s="13">
        <f t="shared" si="2"/>
        <v>3.236559139784946</v>
      </c>
      <c r="O6">
        <v>33.11</v>
      </c>
      <c r="P6" s="13">
        <f t="shared" si="3"/>
        <v>3.236559139784946</v>
      </c>
      <c r="Q6">
        <v>33.11</v>
      </c>
      <c r="R6" s="13">
        <f t="shared" si="4"/>
        <v>3.236559139784946</v>
      </c>
      <c r="T6">
        <v>10.23</v>
      </c>
      <c r="U6" t="s">
        <v>23</v>
      </c>
    </row>
    <row r="7" spans="1:25" ht="29.25">
      <c r="A7" s="8" t="s">
        <v>24</v>
      </c>
      <c r="B7" s="14">
        <v>0</v>
      </c>
      <c r="C7" s="10">
        <v>26</v>
      </c>
      <c r="D7" s="15"/>
      <c r="E7" s="16"/>
      <c r="F7" s="12"/>
      <c r="G7" s="34"/>
      <c r="I7" s="37" t="e">
        <f t="shared" si="0"/>
        <v>#DIV/0!</v>
      </c>
      <c r="J7" s="27" t="s">
        <v>25</v>
      </c>
      <c r="L7" s="13" t="e">
        <f t="shared" ref="L7" si="7">SUM(K7/H7)</f>
        <v>#DIV/0!</v>
      </c>
      <c r="M7" s="17"/>
      <c r="N7" s="13" t="e">
        <f t="shared" si="2"/>
        <v>#DIV/0!</v>
      </c>
      <c r="P7" s="13" t="e">
        <f t="shared" si="3"/>
        <v>#DIV/0!</v>
      </c>
      <c r="Q7">
        <v>0.3</v>
      </c>
      <c r="R7" s="13" t="e">
        <f t="shared" si="4"/>
        <v>#DIV/0!</v>
      </c>
    </row>
    <row r="8" spans="1:25" ht="29.25">
      <c r="A8" s="18" t="s">
        <v>26</v>
      </c>
      <c r="B8" s="19" t="s">
        <v>27</v>
      </c>
      <c r="C8" s="10">
        <v>487</v>
      </c>
      <c r="D8" s="15"/>
      <c r="E8" s="16"/>
      <c r="F8" s="12"/>
      <c r="G8" s="34"/>
      <c r="I8" s="37" t="e">
        <f t="shared" si="0"/>
        <v>#DIV/0!</v>
      </c>
      <c r="L8" s="13" t="e">
        <f t="shared" ref="L8" si="8">SUM(K8/H8)</f>
        <v>#DIV/0!</v>
      </c>
      <c r="M8" s="17">
        <v>954</v>
      </c>
      <c r="N8" s="13" t="e">
        <f t="shared" si="2"/>
        <v>#DIV/0!</v>
      </c>
      <c r="O8">
        <v>954</v>
      </c>
      <c r="P8" s="13" t="e">
        <f t="shared" si="3"/>
        <v>#DIV/0!</v>
      </c>
      <c r="Q8">
        <v>954</v>
      </c>
      <c r="R8" s="13" t="e">
        <f t="shared" si="4"/>
        <v>#DIV/0!</v>
      </c>
      <c r="S8" t="s">
        <v>28</v>
      </c>
    </row>
    <row r="9" spans="1:25" ht="43.5">
      <c r="A9" s="18" t="s">
        <v>29</v>
      </c>
      <c r="B9" s="19"/>
      <c r="C9" s="10"/>
      <c r="D9" s="15"/>
      <c r="E9" s="16"/>
      <c r="F9" s="12">
        <v>4700</v>
      </c>
      <c r="G9" s="35"/>
      <c r="H9" s="31">
        <v>0</v>
      </c>
      <c r="I9" s="37">
        <f t="shared" si="0"/>
        <v>-1</v>
      </c>
      <c r="L9" s="13" t="e">
        <f t="shared" ref="L9" si="9">SUM(K9/H9)</f>
        <v>#DIV/0!</v>
      </c>
      <c r="M9" s="17"/>
      <c r="N9" s="13" t="e">
        <f t="shared" si="2"/>
        <v>#DIV/0!</v>
      </c>
      <c r="P9" s="13" t="e">
        <f t="shared" si="3"/>
        <v>#DIV/0!</v>
      </c>
      <c r="R9" s="13" t="e">
        <f t="shared" si="4"/>
        <v>#DIV/0!</v>
      </c>
      <c r="T9">
        <v>0</v>
      </c>
    </row>
    <row r="10" spans="1:25" ht="29.25">
      <c r="A10" s="18" t="s">
        <v>30</v>
      </c>
      <c r="B10" s="19" t="s">
        <v>27</v>
      </c>
      <c r="C10" s="10">
        <v>500</v>
      </c>
      <c r="D10" s="15"/>
      <c r="E10" s="16"/>
      <c r="F10" s="12">
        <v>800</v>
      </c>
      <c r="G10" s="35">
        <v>800</v>
      </c>
      <c r="H10" s="31">
        <v>800</v>
      </c>
      <c r="I10" s="37">
        <f t="shared" si="0"/>
        <v>0</v>
      </c>
      <c r="J10" t="s">
        <v>31</v>
      </c>
      <c r="K10">
        <v>0</v>
      </c>
      <c r="L10" s="13">
        <f t="shared" ref="L10" si="10">SUM(K10/H10)</f>
        <v>0</v>
      </c>
      <c r="M10" s="17">
        <v>0</v>
      </c>
      <c r="N10" s="13">
        <f t="shared" si="2"/>
        <v>0</v>
      </c>
      <c r="O10">
        <v>0</v>
      </c>
      <c r="P10" s="13">
        <f t="shared" si="3"/>
        <v>0</v>
      </c>
      <c r="Q10">
        <v>0</v>
      </c>
      <c r="R10" s="13">
        <f t="shared" si="4"/>
        <v>0</v>
      </c>
      <c r="T10">
        <v>800</v>
      </c>
      <c r="U10">
        <f>SUM(T3:T10)</f>
        <v>1410.23</v>
      </c>
    </row>
    <row r="11" spans="1:25" ht="29.25">
      <c r="A11" s="18" t="s">
        <v>32</v>
      </c>
      <c r="B11" s="21">
        <v>9986.77</v>
      </c>
      <c r="C11" s="10">
        <v>10979</v>
      </c>
      <c r="D11" s="22">
        <v>1.0993999999999999</v>
      </c>
      <c r="E11" s="9">
        <v>10120</v>
      </c>
      <c r="F11" s="17">
        <f>SUM(F2:F10)</f>
        <v>16425</v>
      </c>
      <c r="G11" s="33">
        <f>SUM(G2:G10)</f>
        <v>12255</v>
      </c>
      <c r="H11" s="31">
        <f>SUM(H2:H10)</f>
        <v>12559</v>
      </c>
      <c r="I11" s="37">
        <f t="shared" si="0"/>
        <v>-0.25388127853881276</v>
      </c>
      <c r="K11">
        <f>SUM(K2:K10)</f>
        <v>11781.880000000001</v>
      </c>
      <c r="L11" s="13">
        <f t="shared" ref="L11" si="11">SUM(K11/H11)</f>
        <v>0.93812246197945703</v>
      </c>
      <c r="M11" s="17">
        <f>SUM(M2:M10)</f>
        <v>12735.880000000001</v>
      </c>
      <c r="N11" s="13">
        <f t="shared" si="2"/>
        <v>1.0140839238792898</v>
      </c>
      <c r="O11">
        <f>SUM(O2:O10)</f>
        <v>12985.880000000001</v>
      </c>
      <c r="P11" s="13">
        <f t="shared" si="3"/>
        <v>1.0339899673540889</v>
      </c>
      <c r="Q11">
        <f>SUM(Q2:Q10)</f>
        <v>12986.18</v>
      </c>
      <c r="R11" s="13">
        <f t="shared" si="4"/>
        <v>1.0340138546062585</v>
      </c>
      <c r="T11">
        <f>SUM(T2:T10)</f>
        <v>12820</v>
      </c>
    </row>
    <row r="12" spans="1:25">
      <c r="A12" s="18"/>
      <c r="B12" s="19"/>
      <c r="C12" s="15"/>
      <c r="D12" s="15"/>
      <c r="E12" s="16"/>
      <c r="F12" s="16"/>
      <c r="G12" s="34"/>
      <c r="I12" s="38"/>
      <c r="L12" s="13"/>
      <c r="M12" s="17"/>
      <c r="N12" s="13"/>
      <c r="P12" s="13"/>
      <c r="R12" s="13"/>
    </row>
    <row r="13" spans="1:25" ht="57.75">
      <c r="A13" s="23" t="s">
        <v>33</v>
      </c>
      <c r="B13" s="24" t="s">
        <v>34</v>
      </c>
      <c r="C13" s="25" t="s">
        <v>35</v>
      </c>
      <c r="D13" s="25" t="s">
        <v>36</v>
      </c>
      <c r="E13" s="25" t="s">
        <v>37</v>
      </c>
      <c r="F13" s="25" t="s">
        <v>4</v>
      </c>
      <c r="G13" s="32" t="s">
        <v>38</v>
      </c>
      <c r="H13" s="41" t="s">
        <v>39</v>
      </c>
      <c r="I13" s="39" t="s">
        <v>8</v>
      </c>
      <c r="K13" s="5" t="s">
        <v>9</v>
      </c>
      <c r="L13" s="6" t="s">
        <v>40</v>
      </c>
      <c r="M13" s="7" t="s">
        <v>11</v>
      </c>
      <c r="N13" s="6" t="s">
        <v>40</v>
      </c>
      <c r="O13" s="5" t="s">
        <v>12</v>
      </c>
      <c r="P13" s="6" t="s">
        <v>40</v>
      </c>
      <c r="Q13" s="5" t="s">
        <v>13</v>
      </c>
      <c r="R13" s="6" t="s">
        <v>40</v>
      </c>
      <c r="S13" s="119" t="s">
        <v>14</v>
      </c>
      <c r="U13" t="s">
        <v>41</v>
      </c>
    </row>
    <row r="14" spans="1:25" ht="29.25">
      <c r="A14" s="8" t="s">
        <v>42</v>
      </c>
      <c r="B14" s="9">
        <v>4169</v>
      </c>
      <c r="C14" s="10">
        <v>1577</v>
      </c>
      <c r="D14" s="11">
        <v>0.37830000000000003</v>
      </c>
      <c r="E14" s="9">
        <v>4500</v>
      </c>
      <c r="F14" s="12">
        <v>3000</v>
      </c>
      <c r="G14" s="33">
        <v>3000</v>
      </c>
      <c r="H14" s="31">
        <v>5000</v>
      </c>
      <c r="I14" s="40">
        <f>SUM(G14-F14)/F14</f>
        <v>0</v>
      </c>
      <c r="K14">
        <f>282.72+190+47.5+76+605.63+517</f>
        <v>1718.85</v>
      </c>
      <c r="L14" s="13">
        <f>SUM(K14/H14)</f>
        <v>0.34376999999999996</v>
      </c>
      <c r="M14" s="17">
        <f>SUM(K14+605+503.98+462)</f>
        <v>3289.83</v>
      </c>
      <c r="N14" s="13">
        <f>SUM(M14/H14)</f>
        <v>0.65796599999999994</v>
      </c>
      <c r="O14" s="17">
        <f>SUM(M14+352+209+418)</f>
        <v>4268.83</v>
      </c>
      <c r="P14" s="13">
        <f>SUM(O14/H14)</f>
        <v>0.85376600000000002</v>
      </c>
      <c r="Q14" s="17">
        <f>SUM(O14+330+264+66+198+220)</f>
        <v>5346.83</v>
      </c>
      <c r="R14" s="13">
        <f>SUM(Q14/H14)</f>
        <v>1.069366</v>
      </c>
      <c r="S14">
        <f>1469+1072-145.48</f>
        <v>2395.52</v>
      </c>
      <c r="T14">
        <v>5000</v>
      </c>
    </row>
    <row r="15" spans="1:25">
      <c r="A15" s="8" t="s">
        <v>43</v>
      </c>
      <c r="B15" s="9">
        <v>1440</v>
      </c>
      <c r="C15" s="10">
        <v>1276</v>
      </c>
      <c r="D15" s="11">
        <v>0.8861</v>
      </c>
      <c r="E15" s="9">
        <v>1500</v>
      </c>
      <c r="F15" s="12">
        <v>2500</v>
      </c>
      <c r="G15" s="33">
        <v>3000</v>
      </c>
      <c r="H15" s="31">
        <v>5039</v>
      </c>
      <c r="I15" s="40">
        <f t="shared" ref="I15:I28" si="12">SUM(G15-F15)/F15</f>
        <v>0.2</v>
      </c>
      <c r="K15">
        <f>356.08+385.68+326.28</f>
        <v>1068.04</v>
      </c>
      <c r="L15" s="13">
        <f>SUM(K15/H15)</f>
        <v>0.21195475292716809</v>
      </c>
      <c r="M15" s="17">
        <f>SUM(K15+389.28+389.28+356.08)</f>
        <v>2202.6799999999998</v>
      </c>
      <c r="N15" s="13">
        <f>SUM(M15/H15)</f>
        <v>0.43712641397102597</v>
      </c>
      <c r="O15" s="17">
        <f>SUM(M15+389.28)</f>
        <v>2591.96</v>
      </c>
      <c r="P15" s="13">
        <f>SUM(O15/H15)</f>
        <v>0.51437983726929948</v>
      </c>
      <c r="Q15" s="17">
        <f>SUM(O15+389.28+389.28+389.28+389.28+389.28)</f>
        <v>4538.3599999999988</v>
      </c>
      <c r="R15" s="13">
        <f>SUM(Q15/H15)</f>
        <v>0.9006469537606665</v>
      </c>
      <c r="S15">
        <f>(3000-2332.6)+64.46-1518.5</f>
        <v>-786.63999999999987</v>
      </c>
      <c r="T15">
        <v>5200</v>
      </c>
      <c r="U15" t="s">
        <v>44</v>
      </c>
    </row>
    <row r="16" spans="1:25" ht="29.25">
      <c r="A16" s="8" t="s">
        <v>45</v>
      </c>
      <c r="B16" s="26"/>
      <c r="C16" s="15"/>
      <c r="D16" s="15"/>
      <c r="E16" s="9">
        <v>300</v>
      </c>
      <c r="F16" s="12">
        <v>0</v>
      </c>
      <c r="G16" s="34">
        <v>200</v>
      </c>
      <c r="I16" s="40" t="e">
        <f t="shared" si="12"/>
        <v>#DIV/0!</v>
      </c>
      <c r="K16">
        <v>154.91</v>
      </c>
      <c r="L16" s="13" t="e">
        <f t="shared" ref="L16:L28" si="13">SUM(K16/H16)</f>
        <v>#DIV/0!</v>
      </c>
      <c r="M16" s="17">
        <f>SUM(K16+154.98)</f>
        <v>309.89</v>
      </c>
      <c r="N16" s="13" t="e">
        <f t="shared" ref="N16:N28" si="14">SUM(M16/H16)</f>
        <v>#DIV/0!</v>
      </c>
      <c r="O16" s="17">
        <f>SUM(M16+55.2)</f>
        <v>365.09</v>
      </c>
      <c r="P16" s="13" t="e">
        <f t="shared" ref="P16:P29" si="15">SUM(O16/H16)</f>
        <v>#DIV/0!</v>
      </c>
      <c r="Q16" s="17">
        <f>SUM(O16+55.2)</f>
        <v>420.28999999999996</v>
      </c>
      <c r="R16" s="13" t="e">
        <f t="shared" ref="R16:R28" si="16">SUM(Q16/H16)</f>
        <v>#DIV/0!</v>
      </c>
      <c r="S16">
        <v>200</v>
      </c>
    </row>
    <row r="17" spans="1:21" ht="29.25">
      <c r="A17" s="8" t="s">
        <v>46</v>
      </c>
      <c r="B17" s="9">
        <v>250</v>
      </c>
      <c r="C17" s="10">
        <v>40</v>
      </c>
      <c r="D17" s="11">
        <v>0.16</v>
      </c>
      <c r="E17" s="9">
        <v>250</v>
      </c>
      <c r="F17" s="12">
        <v>250</v>
      </c>
      <c r="G17" s="33">
        <v>250</v>
      </c>
      <c r="H17" s="31">
        <v>0</v>
      </c>
      <c r="I17" s="40">
        <f t="shared" si="12"/>
        <v>0</v>
      </c>
      <c r="L17" s="13" t="e">
        <f t="shared" si="13"/>
        <v>#DIV/0!</v>
      </c>
      <c r="M17" s="17">
        <v>120</v>
      </c>
      <c r="N17" s="13" t="e">
        <f t="shared" si="14"/>
        <v>#DIV/0!</v>
      </c>
      <c r="O17">
        <v>120</v>
      </c>
      <c r="P17" s="13" t="e">
        <f t="shared" si="15"/>
        <v>#DIV/0!</v>
      </c>
      <c r="Q17">
        <v>120</v>
      </c>
      <c r="R17" s="13" t="e">
        <f t="shared" si="16"/>
        <v>#DIV/0!</v>
      </c>
      <c r="S17">
        <f>250+250+250</f>
        <v>750</v>
      </c>
    </row>
    <row r="18" spans="1:21" ht="29.25">
      <c r="A18" s="8" t="s">
        <v>47</v>
      </c>
      <c r="B18" s="9">
        <v>650</v>
      </c>
      <c r="C18" s="10">
        <v>570</v>
      </c>
      <c r="D18" s="11">
        <v>0.87690000000000001</v>
      </c>
      <c r="E18" s="9">
        <v>650</v>
      </c>
      <c r="F18" s="12">
        <v>650</v>
      </c>
      <c r="G18" s="33">
        <v>700</v>
      </c>
      <c r="H18" s="31">
        <v>1000</v>
      </c>
      <c r="I18" s="40">
        <f t="shared" si="12"/>
        <v>7.6923076923076927E-2</v>
      </c>
      <c r="K18">
        <v>725.95</v>
      </c>
      <c r="L18" s="13">
        <f t="shared" si="13"/>
        <v>0.7259500000000001</v>
      </c>
      <c r="M18" s="17">
        <v>725.95</v>
      </c>
      <c r="N18" s="13">
        <f t="shared" si="14"/>
        <v>0.7259500000000001</v>
      </c>
      <c r="O18">
        <v>725.95</v>
      </c>
      <c r="P18" s="13">
        <f t="shared" si="15"/>
        <v>0.7259500000000001</v>
      </c>
      <c r="Q18">
        <v>725.95</v>
      </c>
      <c r="R18" s="13">
        <f t="shared" si="16"/>
        <v>0.7259500000000001</v>
      </c>
      <c r="S18">
        <f>(650-558.61)-17.38-21.45</f>
        <v>52.559999999999988</v>
      </c>
      <c r="T18">
        <v>1000</v>
      </c>
      <c r="U18" t="s">
        <v>48</v>
      </c>
    </row>
    <row r="19" spans="1:21" ht="43.5">
      <c r="A19" s="8" t="s">
        <v>49</v>
      </c>
      <c r="B19" s="9">
        <v>40</v>
      </c>
      <c r="C19" s="10">
        <v>179</v>
      </c>
      <c r="D19" s="11">
        <v>4.4749999999999996</v>
      </c>
      <c r="E19" s="9">
        <v>250</v>
      </c>
      <c r="F19" s="12">
        <v>200</v>
      </c>
      <c r="G19" s="33">
        <v>200</v>
      </c>
      <c r="H19" s="31">
        <v>45</v>
      </c>
      <c r="I19" s="40">
        <f t="shared" si="12"/>
        <v>0</v>
      </c>
      <c r="K19">
        <v>0</v>
      </c>
      <c r="L19" s="13">
        <f t="shared" si="13"/>
        <v>0</v>
      </c>
      <c r="M19" s="17">
        <v>0</v>
      </c>
      <c r="N19" s="13">
        <f t="shared" si="14"/>
        <v>0</v>
      </c>
      <c r="O19">
        <v>47</v>
      </c>
      <c r="P19" s="13">
        <f t="shared" si="15"/>
        <v>1.0444444444444445</v>
      </c>
      <c r="Q19">
        <v>47</v>
      </c>
      <c r="R19" s="13">
        <f t="shared" si="16"/>
        <v>1.0444444444444445</v>
      </c>
      <c r="S19">
        <v>150</v>
      </c>
      <c r="T19">
        <v>45</v>
      </c>
      <c r="U19" s="27" t="s">
        <v>50</v>
      </c>
    </row>
    <row r="20" spans="1:21" ht="29.25">
      <c r="A20" s="8" t="s">
        <v>51</v>
      </c>
      <c r="B20" s="9">
        <v>200</v>
      </c>
      <c r="C20" s="10">
        <v>237</v>
      </c>
      <c r="D20" s="11">
        <v>1.1850000000000001</v>
      </c>
      <c r="E20" s="9">
        <v>500</v>
      </c>
      <c r="F20" s="12">
        <v>200</v>
      </c>
      <c r="G20" s="33">
        <v>200</v>
      </c>
      <c r="H20" s="31">
        <v>100</v>
      </c>
      <c r="I20" s="40">
        <f t="shared" si="12"/>
        <v>0</v>
      </c>
      <c r="K20">
        <v>35</v>
      </c>
      <c r="L20" s="13">
        <f t="shared" si="13"/>
        <v>0.35</v>
      </c>
      <c r="M20" s="17">
        <v>35</v>
      </c>
      <c r="N20" s="13">
        <f t="shared" si="14"/>
        <v>0.35</v>
      </c>
      <c r="O20">
        <v>35</v>
      </c>
      <c r="P20" s="13">
        <f t="shared" si="15"/>
        <v>0.35</v>
      </c>
      <c r="Q20">
        <v>35</v>
      </c>
      <c r="R20" s="13">
        <f t="shared" si="16"/>
        <v>0.35</v>
      </c>
      <c r="S20">
        <v>350</v>
      </c>
      <c r="T20">
        <v>100</v>
      </c>
      <c r="U20" t="s">
        <v>52</v>
      </c>
    </row>
    <row r="21" spans="1:21" ht="87">
      <c r="A21" s="8" t="s">
        <v>53</v>
      </c>
      <c r="B21" s="9">
        <v>170</v>
      </c>
      <c r="C21" s="10">
        <v>0</v>
      </c>
      <c r="D21" s="11">
        <v>0</v>
      </c>
      <c r="E21" s="9">
        <v>170</v>
      </c>
      <c r="F21" s="12">
        <v>100</v>
      </c>
      <c r="G21" s="33">
        <v>100</v>
      </c>
      <c r="H21" s="31">
        <v>450</v>
      </c>
      <c r="I21" s="40">
        <f t="shared" si="12"/>
        <v>0</v>
      </c>
      <c r="K21">
        <f>13.2</f>
        <v>13.2</v>
      </c>
      <c r="L21" s="13">
        <f t="shared" si="13"/>
        <v>2.9333333333333333E-2</v>
      </c>
      <c r="M21" s="17">
        <f>SUM(K21+432+72)</f>
        <v>517.20000000000005</v>
      </c>
      <c r="N21" s="13">
        <f t="shared" si="14"/>
        <v>1.1493333333333335</v>
      </c>
      <c r="O21" s="17">
        <f>SUM(M21+84.99)</f>
        <v>602.19000000000005</v>
      </c>
      <c r="P21" s="13">
        <f t="shared" si="15"/>
        <v>1.3382000000000001</v>
      </c>
      <c r="Q21" s="17">
        <f>SUM(O21+240+59.99)</f>
        <v>902.18000000000006</v>
      </c>
      <c r="R21" s="13">
        <f t="shared" si="16"/>
        <v>2.0048444444444447</v>
      </c>
      <c r="S21">
        <f>52.31+7.13-761.45</f>
        <v>-702.01</v>
      </c>
      <c r="T21">
        <v>550</v>
      </c>
      <c r="U21" s="27" t="s">
        <v>54</v>
      </c>
    </row>
    <row r="22" spans="1:21" ht="101.25">
      <c r="A22" s="8" t="s">
        <v>55</v>
      </c>
      <c r="B22" s="9">
        <v>1000</v>
      </c>
      <c r="C22" s="15"/>
      <c r="D22" s="11">
        <v>0</v>
      </c>
      <c r="E22" s="9">
        <v>5500</v>
      </c>
      <c r="F22" s="12">
        <v>1000</v>
      </c>
      <c r="G22" s="33">
        <v>1000</v>
      </c>
      <c r="H22" s="31">
        <v>400</v>
      </c>
      <c r="I22" s="40">
        <f t="shared" si="12"/>
        <v>0</v>
      </c>
      <c r="K22">
        <v>174.52</v>
      </c>
      <c r="L22" s="13">
        <f t="shared" si="13"/>
        <v>0.43630000000000002</v>
      </c>
      <c r="M22" s="17">
        <v>0</v>
      </c>
      <c r="N22" s="13">
        <f t="shared" si="14"/>
        <v>0</v>
      </c>
      <c r="O22">
        <f>SUM(K22+792.96)</f>
        <v>967.48</v>
      </c>
      <c r="P22" s="13">
        <f t="shared" si="15"/>
        <v>2.4186999999999999</v>
      </c>
      <c r="Q22">
        <f>SUM(O22+65)</f>
        <v>1032.48</v>
      </c>
      <c r="R22" s="13">
        <f t="shared" si="16"/>
        <v>2.5811999999999999</v>
      </c>
      <c r="S22">
        <v>3000</v>
      </c>
      <c r="T22">
        <v>400</v>
      </c>
      <c r="U22" s="27"/>
    </row>
    <row r="23" spans="1:21" ht="57.75">
      <c r="A23" s="8" t="s">
        <v>56</v>
      </c>
      <c r="B23" s="9">
        <v>200</v>
      </c>
      <c r="C23" s="15"/>
      <c r="D23" s="11">
        <v>0</v>
      </c>
      <c r="E23" s="9">
        <v>200</v>
      </c>
      <c r="F23" s="12">
        <v>1750</v>
      </c>
      <c r="G23" s="33">
        <v>1750</v>
      </c>
      <c r="I23" s="40">
        <f t="shared" si="12"/>
        <v>0</v>
      </c>
      <c r="K23">
        <v>0</v>
      </c>
      <c r="L23" s="13" t="e">
        <f t="shared" si="13"/>
        <v>#DIV/0!</v>
      </c>
      <c r="M23" s="17">
        <v>0</v>
      </c>
      <c r="N23" s="13" t="e">
        <f t="shared" si="14"/>
        <v>#DIV/0!</v>
      </c>
      <c r="O23">
        <v>0</v>
      </c>
      <c r="P23" s="13" t="e">
        <f t="shared" si="15"/>
        <v>#DIV/0!</v>
      </c>
      <c r="Q23">
        <v>0</v>
      </c>
      <c r="R23" s="13" t="e">
        <f t="shared" si="16"/>
        <v>#DIV/0!</v>
      </c>
      <c r="S23">
        <f>5250</f>
        <v>5250</v>
      </c>
      <c r="U23" s="27"/>
    </row>
    <row r="24" spans="1:21" ht="43.5">
      <c r="A24" s="8" t="s">
        <v>57</v>
      </c>
      <c r="B24" s="9">
        <v>250</v>
      </c>
      <c r="C24" s="15"/>
      <c r="D24" s="11">
        <v>0</v>
      </c>
      <c r="E24" s="9">
        <v>300</v>
      </c>
      <c r="F24" s="12">
        <v>250</v>
      </c>
      <c r="G24" s="33">
        <v>300</v>
      </c>
      <c r="I24" s="40">
        <f t="shared" si="12"/>
        <v>0.2</v>
      </c>
      <c r="L24" s="13" t="e">
        <f t="shared" si="13"/>
        <v>#DIV/0!</v>
      </c>
      <c r="M24" s="17"/>
      <c r="N24" s="13" t="e">
        <f t="shared" si="14"/>
        <v>#DIV/0!</v>
      </c>
      <c r="P24" s="13" t="e">
        <f t="shared" si="15"/>
        <v>#DIV/0!</v>
      </c>
      <c r="R24" s="13" t="e">
        <f t="shared" si="16"/>
        <v>#DIV/0!</v>
      </c>
      <c r="S24">
        <f>500-120</f>
        <v>380</v>
      </c>
      <c r="U24" s="27" t="s">
        <v>58</v>
      </c>
    </row>
    <row r="25" spans="1:21" ht="72.75">
      <c r="A25" s="8" t="s">
        <v>59</v>
      </c>
      <c r="B25" s="9">
        <v>3000</v>
      </c>
      <c r="C25" s="10">
        <v>259</v>
      </c>
      <c r="D25" s="11">
        <v>8.6300000000000002E-2</v>
      </c>
      <c r="E25" s="9">
        <v>1000</v>
      </c>
      <c r="F25" s="12">
        <v>1000</v>
      </c>
      <c r="G25" s="33">
        <v>1530</v>
      </c>
      <c r="H25" s="31">
        <v>500</v>
      </c>
      <c r="I25" s="40">
        <f t="shared" si="12"/>
        <v>0.53</v>
      </c>
      <c r="K25">
        <v>0</v>
      </c>
      <c r="L25" s="13">
        <f t="shared" si="13"/>
        <v>0</v>
      </c>
      <c r="M25" s="17"/>
      <c r="N25" s="13">
        <f t="shared" si="14"/>
        <v>0</v>
      </c>
      <c r="O25" s="17"/>
      <c r="P25" s="13">
        <f t="shared" si="15"/>
        <v>0</v>
      </c>
      <c r="Q25" s="17"/>
      <c r="R25" s="13">
        <f t="shared" si="16"/>
        <v>0</v>
      </c>
      <c r="S25">
        <f>1000-783.25+(1530-1823.39)</f>
        <v>-76.6400000000001</v>
      </c>
      <c r="T25">
        <v>500</v>
      </c>
      <c r="U25" s="27" t="s">
        <v>60</v>
      </c>
    </row>
    <row r="26" spans="1:21" ht="29.25">
      <c r="A26" s="8" t="s">
        <v>61</v>
      </c>
      <c r="B26" s="26"/>
      <c r="C26" s="15"/>
      <c r="D26" s="15"/>
      <c r="E26" s="16"/>
      <c r="F26" s="12">
        <v>25</v>
      </c>
      <c r="G26" s="34">
        <v>25</v>
      </c>
      <c r="H26" s="31">
        <v>25</v>
      </c>
      <c r="I26" s="40">
        <f t="shared" si="12"/>
        <v>0</v>
      </c>
      <c r="L26" s="13">
        <f t="shared" si="13"/>
        <v>0</v>
      </c>
      <c r="M26" s="17"/>
      <c r="N26" s="13">
        <f t="shared" si="14"/>
        <v>0</v>
      </c>
      <c r="P26" s="13">
        <f t="shared" si="15"/>
        <v>0</v>
      </c>
      <c r="Q26">
        <v>25</v>
      </c>
      <c r="R26" s="13">
        <f t="shared" si="16"/>
        <v>1</v>
      </c>
      <c r="S26">
        <v>0</v>
      </c>
      <c r="T26">
        <v>25</v>
      </c>
    </row>
    <row r="27" spans="1:21">
      <c r="A27" s="28" t="s">
        <v>62</v>
      </c>
      <c r="B27" s="16"/>
      <c r="C27" s="15"/>
      <c r="D27" s="15"/>
      <c r="E27" s="16"/>
      <c r="F27" s="16"/>
      <c r="G27" s="34"/>
      <c r="I27" s="40" t="e">
        <f t="shared" si="12"/>
        <v>#DIV/0!</v>
      </c>
      <c r="L27" s="13" t="e">
        <f t="shared" si="13"/>
        <v>#DIV/0!</v>
      </c>
      <c r="M27" s="17"/>
      <c r="N27" s="13" t="e">
        <f t="shared" si="14"/>
        <v>#DIV/0!</v>
      </c>
      <c r="P27" s="13" t="e">
        <f t="shared" si="15"/>
        <v>#DIV/0!</v>
      </c>
      <c r="R27" s="13" t="e">
        <f t="shared" si="16"/>
        <v>#DIV/0!</v>
      </c>
      <c r="U27" s="27"/>
    </row>
    <row r="28" spans="1:21" ht="43.5">
      <c r="A28" s="18" t="s">
        <v>63</v>
      </c>
      <c r="B28" s="21">
        <v>11369</v>
      </c>
      <c r="C28" s="10">
        <v>4138</v>
      </c>
      <c r="D28" s="11">
        <v>0.36399999999999999</v>
      </c>
      <c r="E28" s="9">
        <v>15120</v>
      </c>
      <c r="F28" s="9">
        <f>SUM(F14:F26)</f>
        <v>10925</v>
      </c>
      <c r="G28" s="33">
        <f>SUM(G14:G26)</f>
        <v>12255</v>
      </c>
      <c r="H28" s="31">
        <f>SUM(H13:H27)</f>
        <v>12559</v>
      </c>
      <c r="I28" s="40">
        <f t="shared" si="12"/>
        <v>0.12173913043478261</v>
      </c>
      <c r="K28">
        <f>SUM(K14:K27)</f>
        <v>3890.47</v>
      </c>
      <c r="L28" s="13">
        <f t="shared" si="13"/>
        <v>0.30977545982960425</v>
      </c>
      <c r="M28" s="17">
        <f>SUM(M14:M27)</f>
        <v>7200.55</v>
      </c>
      <c r="N28" s="13">
        <f t="shared" si="14"/>
        <v>0.57333784536985433</v>
      </c>
      <c r="O28" s="17">
        <f>SUM(O14:O27)</f>
        <v>9723.5</v>
      </c>
      <c r="P28" s="13">
        <f t="shared" si="15"/>
        <v>0.77422565490883033</v>
      </c>
      <c r="Q28" s="17">
        <f>SUM(Q14:Q27)</f>
        <v>13193.09</v>
      </c>
      <c r="R28" s="13">
        <f t="shared" si="16"/>
        <v>1.0504888924277411</v>
      </c>
      <c r="T28">
        <f>SUM(T13:T27)</f>
        <v>12820</v>
      </c>
    </row>
    <row r="29" spans="1:21">
      <c r="P29" s="13"/>
    </row>
    <row r="32" spans="1:21">
      <c r="Q32" s="120" t="s">
        <v>64</v>
      </c>
      <c r="R32" s="123" t="s">
        <v>65</v>
      </c>
      <c r="S32" s="120">
        <v>31177.46</v>
      </c>
    </row>
    <row r="33" spans="17:20">
      <c r="Q33" s="120"/>
      <c r="R33" s="124" t="s">
        <v>66</v>
      </c>
      <c r="S33" s="120">
        <f>SUM(S14:S27)</f>
        <v>10962.79</v>
      </c>
    </row>
    <row r="34" spans="17:20" ht="29.25">
      <c r="Q34" s="120"/>
      <c r="R34" s="124" t="s">
        <v>67</v>
      </c>
      <c r="S34" s="120">
        <f>SUM(S32-S33)</f>
        <v>20214.669999999998</v>
      </c>
    </row>
    <row r="36" spans="17:20" ht="29.25">
      <c r="Q36" s="120" t="s">
        <v>68</v>
      </c>
      <c r="R36" s="120" t="s">
        <v>69</v>
      </c>
      <c r="S36" s="122">
        <v>5000</v>
      </c>
      <c r="T36" s="121" t="s">
        <v>70</v>
      </c>
    </row>
    <row r="37" spans="17:20">
      <c r="Q37" s="120"/>
      <c r="R37" s="120" t="s">
        <v>71</v>
      </c>
      <c r="S37" s="122">
        <f>SUM(S34-S36)</f>
        <v>15214.669999999998</v>
      </c>
      <c r="T37" s="120" t="s">
        <v>72</v>
      </c>
    </row>
  </sheetData>
  <conditionalFormatting sqref="L2:L11">
    <cfRule type="colorScale" priority="10">
      <colorScale>
        <cfvo type="min"/>
        <cfvo type="max"/>
        <color rgb="FFFFEF9C"/>
        <color rgb="FF63BE7B"/>
      </colorScale>
    </cfRule>
  </conditionalFormatting>
  <conditionalFormatting sqref="L14:L28">
    <cfRule type="colorScale" priority="11">
      <colorScale>
        <cfvo type="min"/>
        <cfvo type="max"/>
        <color rgb="FF63BE7B"/>
        <color rgb="FFFFEF9C"/>
      </colorScale>
    </cfRule>
  </conditionalFormatting>
  <conditionalFormatting sqref="N1:N28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2:N11">
    <cfRule type="colorScale" priority="12">
      <colorScale>
        <cfvo type="min"/>
        <cfvo type="max"/>
        <color rgb="FFFFEF9C"/>
        <color rgb="FF63BE7B"/>
      </colorScale>
    </cfRule>
  </conditionalFormatting>
  <conditionalFormatting sqref="N14:N28">
    <cfRule type="colorScale" priority="13">
      <colorScale>
        <cfvo type="min"/>
        <cfvo type="max"/>
        <color rgb="FF63BE7B"/>
        <color rgb="FFFFEF9C"/>
      </colorScale>
    </cfRule>
  </conditionalFormatting>
  <conditionalFormatting sqref="N14:N28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2:P11">
    <cfRule type="colorScale" priority="9">
      <colorScale>
        <cfvo type="min"/>
        <cfvo type="max"/>
        <color rgb="FFFFEF9C"/>
        <color rgb="FF63BE7B"/>
      </colorScale>
    </cfRule>
  </conditionalFormatting>
  <conditionalFormatting sqref="P14:P29">
    <cfRule type="colorScale" priority="7">
      <colorScale>
        <cfvo type="min"/>
        <cfvo type="max"/>
        <color rgb="FF63BE7B"/>
        <color rgb="FFFCFCFF"/>
      </colorScale>
    </cfRule>
  </conditionalFormatting>
  <conditionalFormatting sqref="R2:R11">
    <cfRule type="colorScale" priority="8">
      <colorScale>
        <cfvo type="min"/>
        <cfvo type="max"/>
        <color rgb="FFFCFCFF"/>
        <color rgb="FF63BE7B"/>
      </colorScale>
    </cfRule>
  </conditionalFormatting>
  <conditionalFormatting sqref="R14:R28">
    <cfRule type="colorScale" priority="6">
      <colorScale>
        <cfvo type="min"/>
        <cfvo type="max"/>
        <color rgb="FF63BE7B"/>
        <color rgb="FFFCFCFF"/>
      </colorScale>
    </cfRule>
  </conditionalFormatting>
  <conditionalFormatting sqref="N26">
    <cfRule type="colorScale" priority="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R26"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14:S2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14:S2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382A9-56D2-43FE-BAA0-E4DD9AF33286}">
  <dimension ref="A1:H18"/>
  <sheetViews>
    <sheetView workbookViewId="0">
      <selection activeCell="H17" sqref="H17"/>
    </sheetView>
  </sheetViews>
  <sheetFormatPr defaultColWidth="15" defaultRowHeight="15"/>
  <cols>
    <col min="2" max="2" width="15.5703125" bestFit="1" customWidth="1"/>
    <col min="5" max="5" width="25.85546875" bestFit="1" customWidth="1"/>
    <col min="8" max="8" width="36.5703125" bestFit="1" customWidth="1"/>
  </cols>
  <sheetData>
    <row r="1" spans="1:8">
      <c r="A1" t="s">
        <v>73</v>
      </c>
      <c r="B1" s="17"/>
    </row>
    <row r="2" spans="1:8">
      <c r="B2" s="17" t="s">
        <v>74</v>
      </c>
      <c r="C2" t="s">
        <v>75</v>
      </c>
      <c r="D2" t="s">
        <v>76</v>
      </c>
      <c r="E2" t="s">
        <v>77</v>
      </c>
    </row>
    <row r="3" spans="1:8">
      <c r="A3" t="s">
        <v>78</v>
      </c>
      <c r="B3" s="44">
        <v>21215.69</v>
      </c>
      <c r="C3" s="44">
        <f>17170-10898.77</f>
        <v>6271.23</v>
      </c>
      <c r="E3" s="44">
        <f>SUM(B3+C3+B5)</f>
        <v>40473.1</v>
      </c>
    </row>
    <row r="4" spans="1:8">
      <c r="B4" s="17"/>
    </row>
    <row r="5" spans="1:8">
      <c r="A5" t="s">
        <v>79</v>
      </c>
      <c r="B5" s="45">
        <v>12986.18</v>
      </c>
      <c r="C5" s="44"/>
      <c r="E5" t="s">
        <v>80</v>
      </c>
    </row>
    <row r="6" spans="1:8">
      <c r="B6" s="17"/>
      <c r="E6" s="17">
        <f>B7</f>
        <v>13193.09</v>
      </c>
    </row>
    <row r="7" spans="1:8">
      <c r="A7" t="s">
        <v>81</v>
      </c>
      <c r="B7" s="17">
        <v>13193.09</v>
      </c>
      <c r="C7" s="46"/>
    </row>
    <row r="8" spans="1:8">
      <c r="B8" s="17"/>
      <c r="E8" t="s">
        <v>82</v>
      </c>
      <c r="G8" t="s">
        <v>83</v>
      </c>
    </row>
    <row r="9" spans="1:8">
      <c r="A9" t="s">
        <v>84</v>
      </c>
      <c r="B9" s="44">
        <v>27120.880000000001</v>
      </c>
      <c r="C9" s="44">
        <v>170</v>
      </c>
      <c r="E9" s="44">
        <f>SUM(E3-E6)</f>
        <v>27280.01</v>
      </c>
      <c r="G9" s="44">
        <f>SUM(B9-E9)</f>
        <v>-159.12999999999738</v>
      </c>
      <c r="H9" s="27" t="s">
        <v>85</v>
      </c>
    </row>
    <row r="10" spans="1:8">
      <c r="A10" t="s">
        <v>86</v>
      </c>
      <c r="B10" s="17"/>
    </row>
    <row r="11" spans="1:8">
      <c r="B11" s="17"/>
    </row>
    <row r="12" spans="1:8">
      <c r="B12" s="17"/>
    </row>
    <row r="13" spans="1:8">
      <c r="B13" s="17"/>
    </row>
    <row r="14" spans="1:8">
      <c r="A14" t="s">
        <v>87</v>
      </c>
      <c r="B14" s="17"/>
      <c r="C14" s="47"/>
    </row>
    <row r="15" spans="1:8">
      <c r="B15" s="17"/>
      <c r="C15" s="44"/>
    </row>
    <row r="16" spans="1:8" ht="65.25">
      <c r="A16" t="s">
        <v>88</v>
      </c>
      <c r="B16" s="44"/>
      <c r="C16" s="44"/>
      <c r="H16" s="129" t="s">
        <v>89</v>
      </c>
    </row>
    <row r="17" spans="2:3">
      <c r="B17" s="17"/>
      <c r="C17" s="44"/>
    </row>
    <row r="18" spans="2:3">
      <c r="B18" s="17" t="s">
        <v>90</v>
      </c>
      <c r="C18" s="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EB6A4-E82A-4F62-991E-D196E4898EE4}">
  <dimension ref="A1:K11"/>
  <sheetViews>
    <sheetView workbookViewId="0">
      <selection activeCell="K11" sqref="K11"/>
    </sheetView>
  </sheetViews>
  <sheetFormatPr defaultColWidth="13.85546875" defaultRowHeight="15"/>
  <sheetData>
    <row r="1" spans="1:11" ht="29.25">
      <c r="B1" s="48" t="s">
        <v>91</v>
      </c>
      <c r="C1" s="49" t="s">
        <v>92</v>
      </c>
      <c r="D1" s="50"/>
      <c r="E1" s="50"/>
      <c r="F1" s="50"/>
      <c r="G1" s="50"/>
      <c r="H1" s="50"/>
      <c r="I1" s="50"/>
      <c r="J1" s="51" t="s">
        <v>93</v>
      </c>
    </row>
    <row r="2" spans="1:11">
      <c r="A2" t="s">
        <v>94</v>
      </c>
      <c r="B2" s="48" t="s">
        <v>95</v>
      </c>
      <c r="C2" s="127">
        <v>10898.77</v>
      </c>
      <c r="D2" s="128">
        <v>10898.77</v>
      </c>
      <c r="E2" s="50"/>
      <c r="F2" s="50"/>
      <c r="G2" s="50"/>
      <c r="H2" s="50"/>
      <c r="I2" s="50"/>
      <c r="J2" s="53">
        <f>SUM(D2:I2)</f>
        <v>10898.77</v>
      </c>
    </row>
    <row r="3" spans="1:11">
      <c r="A3" t="s">
        <v>96</v>
      </c>
      <c r="B3" s="48" t="s">
        <v>97</v>
      </c>
      <c r="C3" s="54">
        <v>500</v>
      </c>
      <c r="D3" s="50"/>
      <c r="E3" s="50"/>
      <c r="F3" s="50"/>
      <c r="G3" s="50">
        <v>500</v>
      </c>
      <c r="H3" s="50"/>
      <c r="I3" s="50"/>
      <c r="J3" s="53">
        <v>500</v>
      </c>
    </row>
    <row r="4" spans="1:11" ht="29.25">
      <c r="A4" t="s">
        <v>98</v>
      </c>
      <c r="B4" s="48" t="s">
        <v>99</v>
      </c>
      <c r="C4" s="52">
        <v>33.11</v>
      </c>
      <c r="D4" s="50"/>
      <c r="E4" s="50"/>
      <c r="F4" s="50"/>
      <c r="G4" s="50"/>
      <c r="H4" s="50"/>
      <c r="I4" s="50"/>
      <c r="J4" s="126">
        <v>33.11</v>
      </c>
    </row>
    <row r="5" spans="1:11" ht="29.25">
      <c r="B5" s="48" t="s">
        <v>100</v>
      </c>
      <c r="C5" s="49"/>
      <c r="D5" s="50"/>
      <c r="E5" s="50"/>
      <c r="F5" s="50"/>
      <c r="G5" s="50"/>
      <c r="H5" s="50"/>
      <c r="I5" s="50"/>
      <c r="J5" s="51">
        <v>0.3</v>
      </c>
    </row>
    <row r="6" spans="1:11" ht="43.5">
      <c r="A6" t="s">
        <v>101</v>
      </c>
      <c r="B6" s="48" t="s">
        <v>102</v>
      </c>
      <c r="C6" s="54">
        <v>600</v>
      </c>
      <c r="D6" s="50"/>
      <c r="E6" s="50"/>
      <c r="F6" s="50"/>
      <c r="G6" s="50">
        <v>600</v>
      </c>
      <c r="H6" s="50"/>
      <c r="I6" s="50"/>
      <c r="J6" s="53">
        <v>600</v>
      </c>
    </row>
    <row r="7" spans="1:11" ht="43.5">
      <c r="A7" t="s">
        <v>103</v>
      </c>
      <c r="B7" s="48" t="s">
        <v>104</v>
      </c>
      <c r="C7" s="55">
        <v>800</v>
      </c>
      <c r="D7" s="50"/>
      <c r="E7" s="50" t="s">
        <v>105</v>
      </c>
      <c r="F7" s="50"/>
      <c r="G7" s="50"/>
      <c r="H7" s="50"/>
      <c r="I7" s="50">
        <v>0</v>
      </c>
      <c r="J7" s="56">
        <v>0</v>
      </c>
    </row>
    <row r="8" spans="1:11" ht="29.25">
      <c r="A8" t="s">
        <v>106</v>
      </c>
      <c r="B8" s="57" t="s">
        <v>107</v>
      </c>
      <c r="C8" s="58">
        <v>954</v>
      </c>
      <c r="D8" s="59"/>
      <c r="E8" s="59"/>
      <c r="F8" s="59"/>
      <c r="G8" s="59"/>
      <c r="H8" s="59"/>
      <c r="I8" s="59"/>
      <c r="J8" s="60">
        <v>954</v>
      </c>
    </row>
    <row r="9" spans="1:11" ht="43.5">
      <c r="A9" t="s">
        <v>108</v>
      </c>
      <c r="B9" s="57" t="s">
        <v>109</v>
      </c>
      <c r="C9" s="58"/>
      <c r="D9" s="59"/>
      <c r="E9" s="59"/>
      <c r="F9" s="59"/>
      <c r="G9" s="59"/>
      <c r="H9" s="59"/>
      <c r="I9" s="59"/>
      <c r="J9" s="60"/>
    </row>
    <row r="10" spans="1:11">
      <c r="B10" s="61" t="s">
        <v>110</v>
      </c>
      <c r="C10" s="62">
        <f>SUM(C2:C9)</f>
        <v>13785.880000000001</v>
      </c>
      <c r="D10" s="63"/>
      <c r="E10" s="63"/>
      <c r="F10" s="63"/>
      <c r="G10" s="63"/>
      <c r="H10" s="63"/>
      <c r="I10" s="63"/>
      <c r="J10" s="45">
        <f>SUM(J1:J9)</f>
        <v>12986.18</v>
      </c>
      <c r="K10" s="125">
        <v>800</v>
      </c>
    </row>
    <row r="11" spans="1:11">
      <c r="K11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3E899-3FBF-497C-BD2A-ABEB2881F324}">
  <dimension ref="A1:S69"/>
  <sheetViews>
    <sheetView tabSelected="1" workbookViewId="0">
      <selection activeCell="D59" sqref="D59"/>
    </sheetView>
  </sheetViews>
  <sheetFormatPr defaultRowHeight="15"/>
  <cols>
    <col min="1" max="1" width="13.42578125" customWidth="1"/>
    <col min="3" max="3" width="15.140625" bestFit="1" customWidth="1"/>
    <col min="4" max="4" width="11.42578125" bestFit="1" customWidth="1"/>
    <col min="5" max="5" width="15.28515625" bestFit="1" customWidth="1"/>
    <col min="6" max="6" width="13" customWidth="1"/>
    <col min="8" max="8" width="15.7109375" customWidth="1"/>
    <col min="9" max="9" width="10.85546875" customWidth="1"/>
    <col min="10" max="10" width="10.5703125" customWidth="1"/>
    <col min="12" max="12" width="14.42578125" customWidth="1"/>
    <col min="13" max="13" width="12" customWidth="1"/>
    <col min="14" max="14" width="13" customWidth="1"/>
    <col min="15" max="15" width="10.140625" customWidth="1"/>
    <col min="19" max="19" width="15.42578125" customWidth="1"/>
  </cols>
  <sheetData>
    <row r="1" spans="1:19" ht="102.75">
      <c r="A1" s="64" t="s">
        <v>112</v>
      </c>
      <c r="B1" s="65" t="s">
        <v>113</v>
      </c>
      <c r="C1" s="65" t="s">
        <v>114</v>
      </c>
      <c r="D1" s="66" t="s">
        <v>115</v>
      </c>
      <c r="E1" s="66" t="s">
        <v>116</v>
      </c>
      <c r="F1" s="67" t="s">
        <v>117</v>
      </c>
      <c r="G1" s="67" t="s">
        <v>118</v>
      </c>
      <c r="H1" s="68" t="s">
        <v>110</v>
      </c>
      <c r="I1" s="69" t="s">
        <v>119</v>
      </c>
      <c r="J1" s="70" t="s">
        <v>120</v>
      </c>
      <c r="K1" s="70" t="s">
        <v>121</v>
      </c>
      <c r="L1" s="71" t="s">
        <v>122</v>
      </c>
      <c r="M1" s="72" t="s">
        <v>123</v>
      </c>
      <c r="N1" s="73" t="s">
        <v>124</v>
      </c>
      <c r="O1" s="70" t="s">
        <v>125</v>
      </c>
      <c r="P1" s="70" t="s">
        <v>126</v>
      </c>
      <c r="Q1" s="70" t="s">
        <v>127</v>
      </c>
      <c r="R1" s="70" t="s">
        <v>128</v>
      </c>
    </row>
    <row r="2" spans="1:19">
      <c r="A2" s="74">
        <v>45758</v>
      </c>
      <c r="B2" s="75">
        <v>158</v>
      </c>
      <c r="C2" s="75" t="s">
        <v>129</v>
      </c>
      <c r="D2" s="75" t="s">
        <v>130</v>
      </c>
      <c r="E2" s="75" t="s">
        <v>131</v>
      </c>
      <c r="F2" s="12">
        <v>282.72000000000003</v>
      </c>
      <c r="G2" s="12"/>
      <c r="H2" s="12">
        <v>282.72000000000003</v>
      </c>
      <c r="I2" s="12"/>
      <c r="J2" s="12"/>
      <c r="K2" s="12"/>
      <c r="L2" s="20">
        <v>282.72000000000003</v>
      </c>
      <c r="M2" s="76"/>
      <c r="N2" s="77"/>
      <c r="O2" s="12"/>
      <c r="P2" s="78"/>
      <c r="Q2" s="78"/>
      <c r="R2" s="79"/>
      <c r="S2" s="75"/>
    </row>
    <row r="3" spans="1:19">
      <c r="A3" s="74">
        <v>45764</v>
      </c>
      <c r="B3" s="75">
        <v>159</v>
      </c>
      <c r="C3" s="75" t="s">
        <v>129</v>
      </c>
      <c r="D3" s="75" t="s">
        <v>132</v>
      </c>
      <c r="E3" s="75" t="s">
        <v>133</v>
      </c>
      <c r="F3" s="12">
        <v>174.52</v>
      </c>
      <c r="G3" s="12"/>
      <c r="H3" s="12">
        <v>174.52</v>
      </c>
      <c r="I3" s="12"/>
      <c r="J3" s="12"/>
      <c r="K3" s="12"/>
      <c r="L3" s="20"/>
      <c r="M3" s="76"/>
      <c r="N3" s="77">
        <v>174.52</v>
      </c>
      <c r="O3" s="12"/>
      <c r="P3" s="78"/>
      <c r="Q3" s="78"/>
      <c r="R3" s="79"/>
      <c r="S3" s="75"/>
    </row>
    <row r="4" spans="1:19">
      <c r="A4" s="80">
        <v>45769</v>
      </c>
      <c r="B4" s="75">
        <v>160</v>
      </c>
      <c r="C4" s="75" t="s">
        <v>129</v>
      </c>
      <c r="D4" t="s">
        <v>134</v>
      </c>
      <c r="E4" s="81" t="s">
        <v>135</v>
      </c>
      <c r="F4" s="82">
        <v>356.08</v>
      </c>
      <c r="G4" s="82"/>
      <c r="H4" s="83">
        <v>356.08</v>
      </c>
      <c r="I4" s="84"/>
      <c r="J4" s="82"/>
      <c r="K4" s="82"/>
      <c r="L4" s="85">
        <v>356.08</v>
      </c>
      <c r="M4" s="86"/>
      <c r="N4" s="87"/>
      <c r="O4" s="82"/>
      <c r="P4" s="82"/>
      <c r="Q4" s="82"/>
      <c r="R4" s="82"/>
    </row>
    <row r="5" spans="1:19">
      <c r="A5" s="88">
        <v>45772</v>
      </c>
      <c r="B5" s="75">
        <v>161</v>
      </c>
      <c r="C5" s="75" t="s">
        <v>129</v>
      </c>
      <c r="D5" s="89" t="s">
        <v>136</v>
      </c>
      <c r="E5" s="89" t="s">
        <v>137</v>
      </c>
      <c r="F5" s="79">
        <v>154.91</v>
      </c>
      <c r="G5" s="79"/>
      <c r="H5" s="90">
        <v>154.91</v>
      </c>
      <c r="I5" s="91"/>
      <c r="J5" s="79"/>
      <c r="K5" s="79"/>
      <c r="L5" s="92">
        <v>154.91</v>
      </c>
      <c r="M5" s="93"/>
      <c r="N5" s="94"/>
      <c r="O5" s="79"/>
      <c r="P5" s="79"/>
      <c r="Q5" s="79"/>
      <c r="R5" s="79"/>
    </row>
    <row r="6" spans="1:19">
      <c r="A6" s="88">
        <v>45775</v>
      </c>
      <c r="B6" s="75">
        <v>162</v>
      </c>
      <c r="C6" s="75" t="s">
        <v>129</v>
      </c>
      <c r="D6" s="89" t="s">
        <v>138</v>
      </c>
      <c r="E6" s="89" t="s">
        <v>139</v>
      </c>
      <c r="F6" s="79">
        <v>35</v>
      </c>
      <c r="G6" s="79"/>
      <c r="H6" s="90">
        <v>35</v>
      </c>
      <c r="I6" s="91"/>
      <c r="J6" s="79"/>
      <c r="K6" s="79">
        <v>35</v>
      </c>
      <c r="L6" s="92"/>
      <c r="M6" s="93"/>
      <c r="N6" s="94"/>
      <c r="O6" s="79"/>
      <c r="P6" s="79"/>
      <c r="Q6" s="79"/>
      <c r="R6" s="79"/>
    </row>
    <row r="7" spans="1:19">
      <c r="A7" s="88">
        <v>45776</v>
      </c>
      <c r="B7" s="75">
        <v>163</v>
      </c>
      <c r="C7" s="75" t="s">
        <v>129</v>
      </c>
      <c r="D7" s="89" t="s">
        <v>130</v>
      </c>
      <c r="E7" s="89" t="s">
        <v>131</v>
      </c>
      <c r="F7" s="79">
        <v>190</v>
      </c>
      <c r="G7" s="79"/>
      <c r="H7" s="90">
        <v>190</v>
      </c>
      <c r="I7" s="91"/>
      <c r="J7" s="79"/>
      <c r="K7" s="79"/>
      <c r="L7" s="92">
        <v>190</v>
      </c>
      <c r="M7" s="93"/>
      <c r="N7" s="94"/>
      <c r="O7" s="79"/>
      <c r="P7" s="79"/>
      <c r="Q7" s="79"/>
      <c r="R7" s="79"/>
    </row>
    <row r="8" spans="1:19">
      <c r="A8" s="88">
        <v>45778</v>
      </c>
      <c r="B8" s="75">
        <v>164</v>
      </c>
      <c r="C8" s="75" t="s">
        <v>129</v>
      </c>
      <c r="D8" s="89" t="s">
        <v>140</v>
      </c>
      <c r="E8" s="89" t="s">
        <v>131</v>
      </c>
      <c r="F8" s="79">
        <v>605.63</v>
      </c>
      <c r="G8" s="79"/>
      <c r="H8" s="90">
        <v>605.63</v>
      </c>
      <c r="I8" s="91"/>
      <c r="J8" s="79"/>
      <c r="K8" s="79"/>
      <c r="L8" s="92">
        <v>605.63</v>
      </c>
      <c r="M8" s="93"/>
      <c r="N8" s="94"/>
      <c r="O8" s="79"/>
      <c r="P8" s="79"/>
      <c r="Q8" s="79"/>
      <c r="R8" s="79"/>
    </row>
    <row r="9" spans="1:19">
      <c r="A9" s="88"/>
      <c r="B9" s="75">
        <v>165</v>
      </c>
      <c r="C9" s="75" t="s">
        <v>129</v>
      </c>
      <c r="D9" s="89" t="s">
        <v>130</v>
      </c>
      <c r="E9" s="89" t="s">
        <v>131</v>
      </c>
      <c r="F9" s="79">
        <v>76</v>
      </c>
      <c r="G9" s="79"/>
      <c r="H9" s="90">
        <v>76</v>
      </c>
      <c r="I9" s="91"/>
      <c r="J9" s="79"/>
      <c r="K9" s="79"/>
      <c r="L9" s="92">
        <v>76</v>
      </c>
      <c r="M9" s="93"/>
      <c r="N9" s="94"/>
      <c r="O9" s="79"/>
      <c r="P9" s="79"/>
      <c r="Q9" s="79"/>
      <c r="R9" s="79"/>
    </row>
    <row r="10" spans="1:19">
      <c r="A10" s="88"/>
      <c r="B10" s="75">
        <v>166</v>
      </c>
      <c r="C10" s="75" t="s">
        <v>129</v>
      </c>
      <c r="D10" s="89" t="s">
        <v>140</v>
      </c>
      <c r="E10" s="89" t="s">
        <v>131</v>
      </c>
      <c r="F10" s="79">
        <v>47.5</v>
      </c>
      <c r="G10" s="79"/>
      <c r="H10" s="90">
        <v>47.5</v>
      </c>
      <c r="I10" s="91"/>
      <c r="J10" s="79"/>
      <c r="K10" s="79"/>
      <c r="L10" s="92">
        <v>47.5</v>
      </c>
      <c r="M10" s="93"/>
      <c r="N10" s="94"/>
      <c r="O10" s="79"/>
      <c r="P10" s="79"/>
      <c r="Q10" s="79"/>
      <c r="R10" s="79"/>
    </row>
    <row r="11" spans="1:19">
      <c r="A11" s="88">
        <v>45790</v>
      </c>
      <c r="B11" s="75">
        <v>167</v>
      </c>
      <c r="C11" s="75" t="s">
        <v>129</v>
      </c>
      <c r="D11" s="89" t="s">
        <v>134</v>
      </c>
      <c r="E11" s="89" t="s">
        <v>135</v>
      </c>
      <c r="F11" s="79">
        <v>385.68</v>
      </c>
      <c r="G11" s="79"/>
      <c r="H11" s="90">
        <v>385.68</v>
      </c>
      <c r="I11" s="91"/>
      <c r="J11" s="79"/>
      <c r="K11" s="79"/>
      <c r="L11" s="92">
        <v>385.68</v>
      </c>
      <c r="M11" s="93"/>
      <c r="N11" s="94"/>
      <c r="O11" s="79"/>
      <c r="P11" s="79"/>
      <c r="Q11" s="79"/>
      <c r="R11" s="79"/>
    </row>
    <row r="12" spans="1:19">
      <c r="A12" s="88">
        <v>45796</v>
      </c>
      <c r="B12" s="75">
        <v>168</v>
      </c>
      <c r="C12" s="75" t="s">
        <v>129</v>
      </c>
      <c r="D12" s="89" t="s">
        <v>141</v>
      </c>
      <c r="E12" s="89" t="s">
        <v>119</v>
      </c>
      <c r="F12" s="79">
        <v>725.95</v>
      </c>
      <c r="G12" s="79"/>
      <c r="H12" s="90">
        <v>725.95</v>
      </c>
      <c r="I12" s="91">
        <v>725.95</v>
      </c>
      <c r="J12" s="79"/>
      <c r="K12" s="79"/>
      <c r="L12" s="92"/>
      <c r="M12" s="93"/>
      <c r="N12" s="94"/>
      <c r="O12" s="79"/>
      <c r="P12" s="79"/>
      <c r="Q12" s="79"/>
      <c r="R12" s="79"/>
    </row>
    <row r="13" spans="1:19">
      <c r="A13" s="88">
        <v>45821</v>
      </c>
      <c r="B13" s="75">
        <v>169</v>
      </c>
      <c r="C13" s="75" t="s">
        <v>129</v>
      </c>
      <c r="D13" s="89" t="s">
        <v>130</v>
      </c>
      <c r="E13" s="89" t="s">
        <v>131</v>
      </c>
      <c r="F13" s="79">
        <v>517</v>
      </c>
      <c r="G13" s="79"/>
      <c r="H13" s="90">
        <v>517</v>
      </c>
      <c r="I13" s="91"/>
      <c r="J13" s="79"/>
      <c r="K13" s="79"/>
      <c r="L13" s="92">
        <v>517</v>
      </c>
      <c r="M13" s="93"/>
      <c r="N13" s="94"/>
      <c r="O13" s="79"/>
      <c r="P13" s="79"/>
      <c r="Q13" s="79"/>
      <c r="R13" s="79"/>
    </row>
    <row r="14" spans="1:19">
      <c r="A14" s="88">
        <v>45824</v>
      </c>
      <c r="B14" s="75">
        <v>170</v>
      </c>
      <c r="C14" s="75" t="s">
        <v>129</v>
      </c>
      <c r="D14" s="89" t="s">
        <v>134</v>
      </c>
      <c r="E14" s="89" t="s">
        <v>135</v>
      </c>
      <c r="F14" s="79">
        <v>326.27999999999997</v>
      </c>
      <c r="G14" s="79"/>
      <c r="H14" s="90">
        <v>326.27999999999997</v>
      </c>
      <c r="I14" s="91"/>
      <c r="J14" s="79"/>
      <c r="K14" s="79"/>
      <c r="L14" s="92">
        <v>326.27999999999997</v>
      </c>
      <c r="M14" s="93"/>
      <c r="N14" s="94"/>
      <c r="O14" s="79"/>
      <c r="P14" s="79"/>
      <c r="Q14" s="79"/>
      <c r="R14" s="79"/>
    </row>
    <row r="15" spans="1:19" ht="29.25">
      <c r="A15" s="88">
        <v>45827</v>
      </c>
      <c r="B15" s="75">
        <v>171</v>
      </c>
      <c r="C15" s="75" t="s">
        <v>129</v>
      </c>
      <c r="D15" s="89" t="s">
        <v>142</v>
      </c>
      <c r="E15" s="89" t="s">
        <v>143</v>
      </c>
      <c r="F15" s="79">
        <v>13.2</v>
      </c>
      <c r="G15" s="79"/>
      <c r="H15" s="90">
        <v>13.2</v>
      </c>
      <c r="I15" s="91"/>
      <c r="J15" s="79"/>
      <c r="K15" s="79"/>
      <c r="L15" s="92"/>
      <c r="M15" s="93">
        <v>13.2</v>
      </c>
      <c r="N15" s="94"/>
      <c r="O15" s="79"/>
      <c r="P15" s="79"/>
      <c r="Q15" s="79"/>
      <c r="R15" s="79"/>
    </row>
    <row r="16" spans="1:19">
      <c r="A16" s="88">
        <v>45852</v>
      </c>
      <c r="B16" s="75">
        <v>172</v>
      </c>
      <c r="C16" s="75" t="s">
        <v>129</v>
      </c>
      <c r="D16" s="89" t="s">
        <v>142</v>
      </c>
      <c r="E16" s="89" t="s">
        <v>135</v>
      </c>
      <c r="F16" s="79">
        <v>389.28</v>
      </c>
      <c r="G16" s="79"/>
      <c r="H16" s="90">
        <v>389.28</v>
      </c>
      <c r="I16" s="91"/>
      <c r="J16" s="79"/>
      <c r="K16" s="79"/>
      <c r="L16" s="92">
        <v>389.28</v>
      </c>
      <c r="M16" s="93"/>
      <c r="N16" s="94"/>
      <c r="O16" s="79"/>
      <c r="P16" s="79"/>
      <c r="Q16" s="79"/>
      <c r="R16" s="79"/>
    </row>
    <row r="17" spans="1:18">
      <c r="A17" s="88"/>
      <c r="B17" s="75">
        <v>173</v>
      </c>
      <c r="C17" s="75" t="s">
        <v>129</v>
      </c>
      <c r="D17" s="89" t="s">
        <v>130</v>
      </c>
      <c r="E17" s="89" t="s">
        <v>131</v>
      </c>
      <c r="F17" s="79">
        <v>605</v>
      </c>
      <c r="G17" s="79"/>
      <c r="H17" s="90">
        <v>605</v>
      </c>
      <c r="I17" s="91"/>
      <c r="J17" s="79"/>
      <c r="K17" s="79"/>
      <c r="L17" s="92">
        <v>605</v>
      </c>
      <c r="M17" s="93"/>
      <c r="N17" s="94"/>
      <c r="O17" s="79"/>
      <c r="P17" s="79"/>
      <c r="Q17" s="79"/>
      <c r="R17" s="79"/>
    </row>
    <row r="18" spans="1:18">
      <c r="A18" s="88">
        <v>45853</v>
      </c>
      <c r="B18" s="75">
        <v>174</v>
      </c>
      <c r="C18" s="75" t="s">
        <v>129</v>
      </c>
      <c r="D18" s="89" t="s">
        <v>140</v>
      </c>
      <c r="E18" s="89" t="s">
        <v>131</v>
      </c>
      <c r="F18" s="79">
        <v>503.98</v>
      </c>
      <c r="G18" s="79"/>
      <c r="H18" s="90">
        <v>503.98</v>
      </c>
      <c r="I18" s="91"/>
      <c r="J18" s="79"/>
      <c r="K18" s="79"/>
      <c r="L18" s="92">
        <v>503.98</v>
      </c>
      <c r="M18" s="93"/>
      <c r="N18" s="94"/>
      <c r="O18" s="79"/>
      <c r="P18" s="79"/>
      <c r="Q18" s="79"/>
      <c r="R18" s="79"/>
    </row>
    <row r="19" spans="1:18">
      <c r="A19" s="88">
        <v>45860</v>
      </c>
      <c r="B19" s="75">
        <v>175</v>
      </c>
      <c r="C19" s="75" t="s">
        <v>129</v>
      </c>
      <c r="D19" s="89" t="s">
        <v>144</v>
      </c>
      <c r="E19" s="89" t="s">
        <v>145</v>
      </c>
      <c r="F19" s="79">
        <v>120</v>
      </c>
      <c r="G19" s="79"/>
      <c r="H19" s="90">
        <v>120</v>
      </c>
      <c r="I19" s="91"/>
      <c r="J19" s="79">
        <v>120</v>
      </c>
      <c r="K19" s="79"/>
      <c r="L19" s="92"/>
      <c r="M19" s="93"/>
      <c r="N19" s="94"/>
      <c r="O19" s="79"/>
      <c r="P19" s="79"/>
      <c r="Q19" s="79"/>
      <c r="R19" s="79"/>
    </row>
    <row r="20" spans="1:18">
      <c r="A20" s="88">
        <v>45862</v>
      </c>
      <c r="B20" s="75">
        <v>176</v>
      </c>
      <c r="C20" s="75" t="s">
        <v>129</v>
      </c>
      <c r="D20" s="89" t="s">
        <v>136</v>
      </c>
      <c r="E20" s="89" t="s">
        <v>137</v>
      </c>
      <c r="F20" s="79">
        <v>154.97999999999999</v>
      </c>
      <c r="G20" s="79"/>
      <c r="H20" s="90">
        <v>154.97999999999999</v>
      </c>
      <c r="I20" s="91"/>
      <c r="J20" s="79"/>
      <c r="K20" s="79"/>
      <c r="L20" s="92">
        <v>154.97999999999999</v>
      </c>
      <c r="M20" s="93"/>
      <c r="N20" s="94"/>
      <c r="O20" s="79"/>
      <c r="P20" s="79"/>
      <c r="Q20" s="79"/>
      <c r="R20" s="79"/>
    </row>
    <row r="21" spans="1:18">
      <c r="A21" s="88">
        <v>45884</v>
      </c>
      <c r="B21" s="75">
        <v>177</v>
      </c>
      <c r="C21" s="75" t="s">
        <v>129</v>
      </c>
      <c r="D21" s="89" t="s">
        <v>130</v>
      </c>
      <c r="E21" s="89" t="s">
        <v>131</v>
      </c>
      <c r="F21" s="79">
        <v>462</v>
      </c>
      <c r="G21" s="79"/>
      <c r="H21" s="90">
        <v>462</v>
      </c>
      <c r="I21" s="91"/>
      <c r="J21" s="79"/>
      <c r="K21" s="79"/>
      <c r="L21" s="92">
        <v>462</v>
      </c>
      <c r="M21" s="93"/>
      <c r="N21" s="94"/>
      <c r="O21" s="79"/>
      <c r="P21" s="79"/>
      <c r="Q21" s="79"/>
      <c r="R21" s="79"/>
    </row>
    <row r="22" spans="1:18">
      <c r="A22" s="88"/>
      <c r="B22" s="75">
        <v>178</v>
      </c>
      <c r="C22" s="75" t="s">
        <v>129</v>
      </c>
      <c r="D22" s="89" t="s">
        <v>142</v>
      </c>
      <c r="E22" s="89" t="s">
        <v>135</v>
      </c>
      <c r="F22" s="79">
        <v>389.28</v>
      </c>
      <c r="G22" s="79"/>
      <c r="H22" s="90">
        <v>389.28</v>
      </c>
      <c r="I22" s="91"/>
      <c r="J22" s="79"/>
      <c r="K22" s="79"/>
      <c r="L22" s="92">
        <v>389.28</v>
      </c>
      <c r="M22" s="93"/>
      <c r="N22" s="94"/>
      <c r="O22" s="79"/>
      <c r="P22" s="79"/>
      <c r="Q22" s="79"/>
      <c r="R22" s="79"/>
    </row>
    <row r="23" spans="1:18" ht="29.25">
      <c r="A23" s="88">
        <v>45903</v>
      </c>
      <c r="B23" s="75">
        <v>179</v>
      </c>
      <c r="C23" s="75" t="s">
        <v>129</v>
      </c>
      <c r="D23" s="89" t="s">
        <v>146</v>
      </c>
      <c r="E23" s="89" t="s">
        <v>147</v>
      </c>
      <c r="F23" s="79">
        <v>72</v>
      </c>
      <c r="G23" s="79"/>
      <c r="H23" s="90">
        <v>72</v>
      </c>
      <c r="I23" s="91"/>
      <c r="J23" s="79"/>
      <c r="K23" s="79"/>
      <c r="L23" s="92"/>
      <c r="M23" s="93">
        <v>72</v>
      </c>
      <c r="N23" s="94"/>
      <c r="O23" s="79"/>
      <c r="P23" s="79"/>
      <c r="Q23" s="79"/>
      <c r="R23" s="79"/>
    </row>
    <row r="24" spans="1:18" ht="29.25">
      <c r="A24" s="88"/>
      <c r="B24" s="75">
        <v>180</v>
      </c>
      <c r="C24" s="75" t="s">
        <v>129</v>
      </c>
      <c r="D24" s="89" t="s">
        <v>148</v>
      </c>
      <c r="E24" s="89" t="s">
        <v>149</v>
      </c>
      <c r="F24" s="79">
        <v>432</v>
      </c>
      <c r="G24" s="79"/>
      <c r="H24" s="90">
        <v>432</v>
      </c>
      <c r="I24" s="91"/>
      <c r="J24" s="79"/>
      <c r="K24" s="79"/>
      <c r="L24" s="92"/>
      <c r="M24" s="93">
        <v>432</v>
      </c>
      <c r="N24" s="94"/>
      <c r="O24" s="79"/>
      <c r="P24" s="79"/>
      <c r="Q24" s="79"/>
      <c r="R24" s="79"/>
    </row>
    <row r="25" spans="1:18">
      <c r="A25" s="88">
        <v>45915</v>
      </c>
      <c r="B25" s="75">
        <v>181</v>
      </c>
      <c r="C25" s="95" t="s">
        <v>129</v>
      </c>
      <c r="D25" s="89" t="s">
        <v>134</v>
      </c>
      <c r="E25" s="89" t="s">
        <v>135</v>
      </c>
      <c r="F25" s="79">
        <v>356.08</v>
      </c>
      <c r="G25" s="79"/>
      <c r="H25" s="90">
        <v>356.08</v>
      </c>
      <c r="I25" s="91"/>
      <c r="J25" s="79"/>
      <c r="K25" s="79"/>
      <c r="L25" s="92">
        <v>356.08</v>
      </c>
      <c r="M25" s="93"/>
      <c r="N25" s="94"/>
      <c r="O25" s="79"/>
      <c r="P25" s="79"/>
      <c r="Q25" s="79"/>
      <c r="R25" s="79"/>
    </row>
    <row r="26" spans="1:18">
      <c r="A26" s="88">
        <v>45916</v>
      </c>
      <c r="B26" s="75">
        <v>182</v>
      </c>
      <c r="C26" s="95" t="s">
        <v>129</v>
      </c>
      <c r="D26" s="89" t="s">
        <v>140</v>
      </c>
      <c r="E26" s="89" t="s">
        <v>131</v>
      </c>
      <c r="F26" s="79">
        <v>209</v>
      </c>
      <c r="G26" s="79"/>
      <c r="H26" s="90">
        <v>209</v>
      </c>
      <c r="I26" s="91"/>
      <c r="J26" s="79"/>
      <c r="K26" s="79"/>
      <c r="L26" s="92">
        <v>209</v>
      </c>
      <c r="M26" s="93"/>
      <c r="N26" s="94"/>
      <c r="O26" s="79"/>
      <c r="P26" s="79"/>
      <c r="Q26" s="79"/>
      <c r="R26" s="79"/>
    </row>
    <row r="27" spans="1:18">
      <c r="A27" s="88"/>
      <c r="B27" s="75">
        <v>183</v>
      </c>
      <c r="C27" s="95" t="s">
        <v>129</v>
      </c>
      <c r="D27" s="89" t="s">
        <v>130</v>
      </c>
      <c r="E27" s="89" t="s">
        <v>131</v>
      </c>
      <c r="F27" s="79">
        <v>418</v>
      </c>
      <c r="G27" s="79"/>
      <c r="H27" s="90">
        <v>418</v>
      </c>
      <c r="I27" s="91"/>
      <c r="J27" s="79"/>
      <c r="K27" s="79"/>
      <c r="L27" s="92">
        <v>418</v>
      </c>
      <c r="M27" s="93"/>
      <c r="N27" s="94"/>
      <c r="O27" s="79"/>
      <c r="P27" s="79"/>
      <c r="Q27" s="79"/>
      <c r="R27" s="79"/>
    </row>
    <row r="28" spans="1:18">
      <c r="A28" s="88">
        <v>45932</v>
      </c>
      <c r="B28" s="75">
        <v>184</v>
      </c>
      <c r="C28" s="95" t="s">
        <v>129</v>
      </c>
      <c r="D28" s="89" t="s">
        <v>150</v>
      </c>
      <c r="E28" s="89" t="s">
        <v>151</v>
      </c>
      <c r="F28" s="79">
        <v>47</v>
      </c>
      <c r="G28" s="79"/>
      <c r="H28" s="90">
        <v>47</v>
      </c>
      <c r="I28" s="91"/>
      <c r="J28" s="79"/>
      <c r="K28" s="79"/>
      <c r="L28" s="92"/>
      <c r="M28" s="93">
        <v>47</v>
      </c>
      <c r="N28" s="94"/>
      <c r="O28" s="79"/>
      <c r="P28" s="79"/>
      <c r="Q28" s="79"/>
      <c r="R28" s="79"/>
    </row>
    <row r="29" spans="1:18">
      <c r="A29" s="88">
        <v>45937</v>
      </c>
      <c r="B29" s="75">
        <v>185</v>
      </c>
      <c r="C29" s="95" t="s">
        <v>129</v>
      </c>
      <c r="D29" s="89" t="s">
        <v>152</v>
      </c>
      <c r="E29" s="89" t="s">
        <v>153</v>
      </c>
      <c r="F29" s="79">
        <v>84.99</v>
      </c>
      <c r="G29" s="79"/>
      <c r="H29" s="90">
        <v>84.99</v>
      </c>
      <c r="I29" s="91"/>
      <c r="J29" s="79"/>
      <c r="K29" s="79"/>
      <c r="L29" s="92"/>
      <c r="M29" s="93">
        <v>84.99</v>
      </c>
      <c r="N29" s="94"/>
      <c r="O29" s="79"/>
      <c r="P29" s="79"/>
      <c r="Q29" s="79"/>
      <c r="R29" s="96"/>
    </row>
    <row r="30" spans="1:18">
      <c r="A30" s="88">
        <v>45944</v>
      </c>
      <c r="B30" s="75">
        <v>186</v>
      </c>
      <c r="C30" s="95" t="s">
        <v>129</v>
      </c>
      <c r="D30" s="89" t="s">
        <v>134</v>
      </c>
      <c r="E30" s="89" t="s">
        <v>135</v>
      </c>
      <c r="F30" s="79">
        <v>389.28</v>
      </c>
      <c r="G30" s="79"/>
      <c r="H30" s="90">
        <v>389.28</v>
      </c>
      <c r="I30" s="91"/>
      <c r="J30" s="79"/>
      <c r="K30" s="79"/>
      <c r="L30" s="92">
        <v>389.28</v>
      </c>
      <c r="M30" s="93"/>
      <c r="N30" s="94"/>
      <c r="O30" s="79"/>
      <c r="P30" s="79"/>
      <c r="Q30" s="79"/>
      <c r="R30" s="96"/>
    </row>
    <row r="31" spans="1:18">
      <c r="A31" s="88"/>
      <c r="B31" s="75">
        <v>187</v>
      </c>
      <c r="C31" s="95" t="s">
        <v>129</v>
      </c>
      <c r="D31" s="89" t="s">
        <v>130</v>
      </c>
      <c r="E31" s="89" t="s">
        <v>131</v>
      </c>
      <c r="F31" s="79">
        <v>352</v>
      </c>
      <c r="G31" s="79"/>
      <c r="H31" s="90">
        <v>352</v>
      </c>
      <c r="I31" s="91"/>
      <c r="J31" s="79"/>
      <c r="K31" s="79"/>
      <c r="L31" s="92">
        <v>352</v>
      </c>
      <c r="M31" s="93"/>
      <c r="N31" s="94"/>
      <c r="O31" s="79"/>
      <c r="P31" s="79"/>
      <c r="Q31" s="79"/>
      <c r="R31" s="96"/>
    </row>
    <row r="32" spans="1:18" ht="29.25">
      <c r="A32" s="88">
        <v>45946</v>
      </c>
      <c r="B32" s="75">
        <v>188</v>
      </c>
      <c r="C32" s="95" t="s">
        <v>129</v>
      </c>
      <c r="D32" s="89" t="s">
        <v>154</v>
      </c>
      <c r="E32" s="89" t="s">
        <v>155</v>
      </c>
      <c r="F32" s="79">
        <v>792.96</v>
      </c>
      <c r="G32" s="79"/>
      <c r="H32" s="90">
        <v>792.96</v>
      </c>
      <c r="I32" s="91"/>
      <c r="J32" s="79"/>
      <c r="K32" s="79"/>
      <c r="L32" s="92"/>
      <c r="M32" s="93"/>
      <c r="N32" s="94"/>
      <c r="O32" s="79">
        <v>792.96</v>
      </c>
      <c r="P32" s="79"/>
      <c r="Q32" s="79"/>
      <c r="R32" s="96"/>
    </row>
    <row r="33" spans="1:18">
      <c r="A33" s="88">
        <v>45953</v>
      </c>
      <c r="B33" s="75">
        <v>189</v>
      </c>
      <c r="C33" s="95" t="s">
        <v>129</v>
      </c>
      <c r="D33" s="89" t="s">
        <v>136</v>
      </c>
      <c r="E33" s="89" t="s">
        <v>137</v>
      </c>
      <c r="F33" s="79">
        <v>55.2</v>
      </c>
      <c r="G33" s="79"/>
      <c r="H33" s="90">
        <v>55.2</v>
      </c>
      <c r="I33" s="91"/>
      <c r="J33" s="79"/>
      <c r="K33" s="79"/>
      <c r="L33" s="92">
        <v>55.2</v>
      </c>
      <c r="M33" s="93"/>
      <c r="N33" s="94"/>
      <c r="O33" s="79"/>
      <c r="P33" s="79"/>
      <c r="Q33" s="79"/>
      <c r="R33" s="96"/>
    </row>
    <row r="34" spans="1:18">
      <c r="A34" s="88">
        <v>45972</v>
      </c>
      <c r="B34" s="75">
        <v>190</v>
      </c>
      <c r="C34" s="95" t="s">
        <v>129</v>
      </c>
      <c r="D34" s="89" t="s">
        <v>130</v>
      </c>
      <c r="E34" s="89" t="s">
        <v>131</v>
      </c>
      <c r="F34" s="79">
        <v>330</v>
      </c>
      <c r="G34" s="79"/>
      <c r="H34" s="90">
        <v>330</v>
      </c>
      <c r="I34" s="91"/>
      <c r="J34" s="79"/>
      <c r="K34" s="79"/>
      <c r="L34" s="92">
        <v>330</v>
      </c>
      <c r="M34" s="93"/>
      <c r="N34" s="94"/>
      <c r="O34" s="79"/>
      <c r="P34" s="79"/>
      <c r="Q34" s="79"/>
      <c r="R34" s="96"/>
    </row>
    <row r="35" spans="1:18">
      <c r="A35" s="88">
        <v>45974</v>
      </c>
      <c r="B35" s="75">
        <v>191</v>
      </c>
      <c r="C35" s="95" t="s">
        <v>129</v>
      </c>
      <c r="D35" s="89" t="s">
        <v>134</v>
      </c>
      <c r="E35" s="89" t="s">
        <v>135</v>
      </c>
      <c r="F35" s="79">
        <v>389.28</v>
      </c>
      <c r="G35" s="79"/>
      <c r="H35" s="90">
        <v>389.28</v>
      </c>
      <c r="I35" s="91"/>
      <c r="J35" s="79"/>
      <c r="K35" s="79"/>
      <c r="L35" s="92">
        <v>389.28</v>
      </c>
      <c r="M35" s="93"/>
      <c r="N35" s="94"/>
      <c r="O35" s="79"/>
      <c r="P35" s="79"/>
      <c r="Q35" s="79"/>
      <c r="R35" s="96"/>
    </row>
    <row r="36" spans="1:18" ht="29.25">
      <c r="A36" s="88">
        <v>45995</v>
      </c>
      <c r="B36" s="75">
        <v>192</v>
      </c>
      <c r="C36" s="95" t="s">
        <v>129</v>
      </c>
      <c r="D36" s="89" t="s">
        <v>156</v>
      </c>
      <c r="E36" s="89" t="s">
        <v>157</v>
      </c>
      <c r="F36" s="79">
        <v>25</v>
      </c>
      <c r="G36" s="79"/>
      <c r="H36" s="90">
        <v>25</v>
      </c>
      <c r="I36" s="91"/>
      <c r="J36" s="79"/>
      <c r="K36" s="79"/>
      <c r="L36" s="92"/>
      <c r="M36" s="93"/>
      <c r="N36" s="94"/>
      <c r="O36" s="79"/>
      <c r="P36" s="79"/>
      <c r="Q36" s="79"/>
      <c r="R36" s="96">
        <v>25</v>
      </c>
    </row>
    <row r="37" spans="1:18" ht="57.75">
      <c r="A37" s="88">
        <v>46001</v>
      </c>
      <c r="B37" s="75">
        <v>193</v>
      </c>
      <c r="C37" s="95" t="s">
        <v>129</v>
      </c>
      <c r="D37" s="89" t="s">
        <v>158</v>
      </c>
      <c r="E37" s="89" t="s">
        <v>159</v>
      </c>
      <c r="F37" s="79">
        <v>240</v>
      </c>
      <c r="G37" s="79"/>
      <c r="H37" s="90">
        <v>240</v>
      </c>
      <c r="I37" s="91"/>
      <c r="J37" s="79"/>
      <c r="K37" s="79"/>
      <c r="L37" s="92"/>
      <c r="M37" s="93">
        <v>240</v>
      </c>
      <c r="N37" s="94"/>
      <c r="O37" s="79"/>
      <c r="P37" s="79"/>
      <c r="Q37" s="79"/>
      <c r="R37" s="96"/>
    </row>
    <row r="38" spans="1:18">
      <c r="A38" s="88">
        <v>46003</v>
      </c>
      <c r="B38" s="75">
        <v>194</v>
      </c>
      <c r="C38" s="95" t="s">
        <v>129</v>
      </c>
      <c r="D38" s="89" t="s">
        <v>130</v>
      </c>
      <c r="E38" s="89" t="s">
        <v>131</v>
      </c>
      <c r="F38" s="79">
        <v>264</v>
      </c>
      <c r="G38" s="79"/>
      <c r="H38" s="90">
        <v>264</v>
      </c>
      <c r="I38" s="91"/>
      <c r="J38" s="79"/>
      <c r="K38" s="79"/>
      <c r="L38" s="92">
        <v>264</v>
      </c>
      <c r="M38" s="93"/>
      <c r="N38" s="94"/>
      <c r="O38" s="79"/>
      <c r="P38" s="79"/>
      <c r="Q38" s="79"/>
      <c r="R38" s="96"/>
    </row>
    <row r="39" spans="1:18">
      <c r="A39" s="88">
        <v>46006</v>
      </c>
      <c r="B39" s="75">
        <v>195</v>
      </c>
      <c r="C39" s="95" t="s">
        <v>129</v>
      </c>
      <c r="D39" s="89" t="s">
        <v>134</v>
      </c>
      <c r="E39" s="89" t="s">
        <v>135</v>
      </c>
      <c r="F39" s="79">
        <v>389.28</v>
      </c>
      <c r="G39" s="79"/>
      <c r="H39" s="90">
        <v>389.28</v>
      </c>
      <c r="I39" s="91"/>
      <c r="J39" s="79"/>
      <c r="K39" s="79"/>
      <c r="L39" s="92">
        <v>389.28</v>
      </c>
      <c r="M39" s="93"/>
      <c r="N39" s="94"/>
      <c r="O39" s="79"/>
      <c r="P39" s="79"/>
      <c r="Q39" s="79"/>
      <c r="R39" s="96"/>
    </row>
    <row r="40" spans="1:18">
      <c r="A40" s="88">
        <v>46034</v>
      </c>
      <c r="B40" s="75">
        <v>196</v>
      </c>
      <c r="C40" s="95" t="s">
        <v>129</v>
      </c>
      <c r="D40" s="89" t="s">
        <v>134</v>
      </c>
      <c r="E40" s="89" t="s">
        <v>135</v>
      </c>
      <c r="F40" s="79">
        <v>389.28</v>
      </c>
      <c r="G40" s="79"/>
      <c r="H40" s="90">
        <v>389.28</v>
      </c>
      <c r="I40" s="91"/>
      <c r="J40" s="79"/>
      <c r="K40" s="79"/>
      <c r="L40" s="92">
        <v>389.28</v>
      </c>
      <c r="M40" s="93"/>
      <c r="N40" s="94"/>
      <c r="O40" s="79"/>
      <c r="P40" s="79"/>
      <c r="Q40" s="79"/>
      <c r="R40" s="96"/>
    </row>
    <row r="41" spans="1:18">
      <c r="A41" s="88">
        <v>46035</v>
      </c>
      <c r="B41" s="75">
        <v>197</v>
      </c>
      <c r="C41" s="95" t="s">
        <v>129</v>
      </c>
      <c r="D41" s="89" t="s">
        <v>130</v>
      </c>
      <c r="E41" s="89" t="s">
        <v>131</v>
      </c>
      <c r="F41" s="79">
        <v>66</v>
      </c>
      <c r="G41" s="79"/>
      <c r="H41" s="90">
        <v>66</v>
      </c>
      <c r="I41" s="91"/>
      <c r="J41" s="79"/>
      <c r="K41" s="79"/>
      <c r="L41" s="92">
        <v>66</v>
      </c>
      <c r="M41" s="93"/>
      <c r="N41" s="94"/>
      <c r="O41" s="79"/>
      <c r="P41" s="79"/>
      <c r="Q41" s="79"/>
      <c r="R41" s="96"/>
    </row>
    <row r="42" spans="1:18">
      <c r="A42" s="88">
        <v>46045</v>
      </c>
      <c r="B42" s="75">
        <v>198</v>
      </c>
      <c r="C42" s="95" t="s">
        <v>129</v>
      </c>
      <c r="D42" s="89" t="s">
        <v>136</v>
      </c>
      <c r="E42" s="89" t="s">
        <v>137</v>
      </c>
      <c r="F42" s="79">
        <v>55.2</v>
      </c>
      <c r="G42" s="79"/>
      <c r="H42" s="90">
        <v>55.2</v>
      </c>
      <c r="I42" s="91"/>
      <c r="J42" s="79"/>
      <c r="K42" s="79"/>
      <c r="L42" s="92">
        <v>55.2</v>
      </c>
      <c r="M42" s="93"/>
      <c r="N42" s="94"/>
      <c r="O42" s="79"/>
      <c r="P42" s="79"/>
      <c r="Q42" s="79"/>
      <c r="R42" s="96"/>
    </row>
    <row r="43" spans="1:18" ht="29.25">
      <c r="A43" s="88">
        <v>46056</v>
      </c>
      <c r="B43" s="75">
        <v>199</v>
      </c>
      <c r="C43" s="95" t="s">
        <v>129</v>
      </c>
      <c r="D43" s="89" t="s">
        <v>134</v>
      </c>
      <c r="E43" s="89" t="s">
        <v>160</v>
      </c>
      <c r="F43" s="79">
        <v>59.99</v>
      </c>
      <c r="G43" s="79"/>
      <c r="H43" s="90">
        <v>59.99</v>
      </c>
      <c r="I43" s="91"/>
      <c r="J43" s="79"/>
      <c r="K43" s="79"/>
      <c r="L43" s="92"/>
      <c r="M43" s="93">
        <v>59.99</v>
      </c>
      <c r="N43" s="94"/>
      <c r="O43" s="79"/>
      <c r="P43" s="79"/>
      <c r="Q43" s="79"/>
      <c r="R43" s="96"/>
    </row>
    <row r="44" spans="1:18">
      <c r="A44" s="88">
        <v>46063</v>
      </c>
      <c r="B44" s="75">
        <v>200</v>
      </c>
      <c r="C44" s="95" t="s">
        <v>129</v>
      </c>
      <c r="D44" s="89" t="s">
        <v>134</v>
      </c>
      <c r="E44" s="89" t="s">
        <v>135</v>
      </c>
      <c r="F44" s="79">
        <v>389.28</v>
      </c>
      <c r="G44" s="79"/>
      <c r="H44" s="90">
        <v>389.28</v>
      </c>
      <c r="I44" s="91"/>
      <c r="J44" s="79"/>
      <c r="K44" s="79"/>
      <c r="L44" s="92">
        <v>389.28</v>
      </c>
      <c r="M44" s="93"/>
      <c r="N44" s="94"/>
      <c r="O44" s="79"/>
      <c r="P44" s="79"/>
      <c r="Q44" s="79"/>
      <c r="R44" s="96"/>
    </row>
    <row r="45" spans="1:18">
      <c r="A45" s="88">
        <v>46063</v>
      </c>
      <c r="B45" s="75">
        <v>201</v>
      </c>
      <c r="C45" s="95" t="s">
        <v>129</v>
      </c>
      <c r="D45" s="89" t="s">
        <v>130</v>
      </c>
      <c r="E45" s="89" t="s">
        <v>131</v>
      </c>
      <c r="F45" s="79">
        <v>198</v>
      </c>
      <c r="G45" s="79"/>
      <c r="H45" s="90">
        <v>198</v>
      </c>
      <c r="I45" s="91"/>
      <c r="J45" s="79"/>
      <c r="K45" s="79"/>
      <c r="L45" s="92">
        <v>198</v>
      </c>
      <c r="M45" s="93"/>
      <c r="N45" s="94"/>
      <c r="O45" s="79"/>
      <c r="P45" s="79"/>
      <c r="Q45" s="79"/>
      <c r="R45" s="96"/>
    </row>
    <row r="46" spans="1:18">
      <c r="A46" s="88">
        <v>46090</v>
      </c>
      <c r="B46" s="75">
        <v>202</v>
      </c>
      <c r="C46" s="95" t="s">
        <v>129</v>
      </c>
      <c r="D46" s="89" t="s">
        <v>130</v>
      </c>
      <c r="E46" s="89" t="s">
        <v>131</v>
      </c>
      <c r="F46" s="79">
        <v>220</v>
      </c>
      <c r="G46" s="79"/>
      <c r="H46" s="90">
        <v>220</v>
      </c>
      <c r="I46" s="91"/>
      <c r="J46" s="79"/>
      <c r="K46" s="79"/>
      <c r="L46" s="92">
        <v>220</v>
      </c>
      <c r="M46" s="93"/>
      <c r="N46" s="94"/>
      <c r="O46" s="79"/>
      <c r="P46" s="79"/>
      <c r="Q46" s="79"/>
      <c r="R46" s="96"/>
    </row>
    <row r="47" spans="1:18">
      <c r="A47" s="88">
        <v>46090</v>
      </c>
      <c r="B47" s="75">
        <v>203</v>
      </c>
      <c r="C47" s="95" t="s">
        <v>129</v>
      </c>
      <c r="D47" s="89" t="s">
        <v>134</v>
      </c>
      <c r="E47" s="89" t="s">
        <v>135</v>
      </c>
      <c r="F47" s="79">
        <v>389.28</v>
      </c>
      <c r="G47" s="79"/>
      <c r="H47" s="90">
        <v>389.28</v>
      </c>
      <c r="I47" s="91"/>
      <c r="J47" s="79"/>
      <c r="K47" s="79"/>
      <c r="L47" s="92">
        <v>389.28</v>
      </c>
      <c r="M47" s="93"/>
      <c r="N47" s="94"/>
      <c r="O47" s="79"/>
      <c r="P47" s="79"/>
      <c r="Q47" s="79"/>
      <c r="R47" s="96"/>
    </row>
    <row r="48" spans="1:18" ht="29.25">
      <c r="A48" s="88">
        <v>46090</v>
      </c>
      <c r="B48" s="75">
        <v>204</v>
      </c>
      <c r="C48" s="95" t="s">
        <v>129</v>
      </c>
      <c r="D48" s="89" t="s">
        <v>140</v>
      </c>
      <c r="E48" s="89" t="s">
        <v>161</v>
      </c>
      <c r="F48" s="79">
        <v>65</v>
      </c>
      <c r="G48" s="79"/>
      <c r="H48" s="90">
        <v>65</v>
      </c>
      <c r="I48" s="91"/>
      <c r="J48" s="79"/>
      <c r="K48" s="79"/>
      <c r="L48" s="92"/>
      <c r="M48" s="93"/>
      <c r="N48" s="94">
        <v>65</v>
      </c>
      <c r="O48" s="79"/>
      <c r="P48" s="79"/>
      <c r="Q48" s="79"/>
      <c r="R48" s="96"/>
    </row>
    <row r="49" spans="1:19">
      <c r="A49" s="88"/>
      <c r="B49" s="75">
        <v>205</v>
      </c>
      <c r="C49" s="95"/>
      <c r="D49" s="89"/>
      <c r="E49" s="89"/>
      <c r="F49" s="79"/>
      <c r="G49" s="79"/>
      <c r="H49" s="90"/>
      <c r="I49" s="91"/>
      <c r="J49" s="79"/>
      <c r="K49" s="79"/>
      <c r="L49" s="92"/>
      <c r="M49" s="93"/>
      <c r="N49" s="94"/>
      <c r="O49" s="79"/>
      <c r="P49" s="79"/>
      <c r="Q49" s="79"/>
      <c r="R49" s="96"/>
    </row>
    <row r="50" spans="1:19">
      <c r="A50" s="88"/>
      <c r="B50" s="75">
        <v>206</v>
      </c>
      <c r="C50" s="95"/>
      <c r="D50" s="89"/>
      <c r="E50" s="89"/>
      <c r="F50" s="79"/>
      <c r="G50" s="79"/>
      <c r="H50" s="90"/>
      <c r="I50" s="91"/>
      <c r="J50" s="79"/>
      <c r="K50" s="79"/>
      <c r="L50" s="92"/>
      <c r="M50" s="93"/>
      <c r="N50" s="94"/>
      <c r="O50" s="79"/>
      <c r="P50" s="79"/>
      <c r="Q50" s="79"/>
      <c r="R50" s="96"/>
    </row>
    <row r="51" spans="1:19" ht="71.25">
      <c r="A51" s="97"/>
      <c r="B51" s="98"/>
      <c r="C51" s="98"/>
      <c r="D51" s="99"/>
      <c r="E51" s="99"/>
      <c r="F51" s="100"/>
      <c r="G51" s="101" t="s">
        <v>118</v>
      </c>
      <c r="H51" s="102" t="s">
        <v>110</v>
      </c>
      <c r="I51" s="103" t="s">
        <v>119</v>
      </c>
      <c r="J51" s="101" t="s">
        <v>120</v>
      </c>
      <c r="K51" s="101" t="s">
        <v>138</v>
      </c>
      <c r="L51" s="104" t="s">
        <v>122</v>
      </c>
      <c r="M51" s="105" t="s">
        <v>123</v>
      </c>
      <c r="N51" s="106" t="s">
        <v>124</v>
      </c>
      <c r="O51" s="101" t="s">
        <v>162</v>
      </c>
      <c r="P51" s="101" t="s">
        <v>126</v>
      </c>
      <c r="Q51" s="101" t="s">
        <v>127</v>
      </c>
      <c r="R51" s="107" t="s">
        <v>128</v>
      </c>
      <c r="S51" s="100" t="s">
        <v>163</v>
      </c>
    </row>
    <row r="52" spans="1:19" ht="18.75">
      <c r="A52" s="108"/>
      <c r="B52" s="109"/>
      <c r="C52" s="110"/>
      <c r="D52" s="110"/>
      <c r="E52" s="110"/>
      <c r="F52" s="111">
        <f>SUM(F2:F50)</f>
        <v>13193.090000000004</v>
      </c>
      <c r="G52" s="111"/>
      <c r="H52" s="112">
        <f>SUM(H2:H50)</f>
        <v>13193.090000000004</v>
      </c>
      <c r="I52" s="113">
        <f>SUM(I2:I50)</f>
        <v>725.95</v>
      </c>
      <c r="J52" s="114">
        <f>SUM(J2:J50)</f>
        <v>120</v>
      </c>
      <c r="K52" s="114">
        <f>SUM(K2:K50)</f>
        <v>35</v>
      </c>
      <c r="L52" s="115">
        <f>SUM(L2:L50)</f>
        <v>10305.480000000001</v>
      </c>
      <c r="M52" s="116">
        <f>SUM(M2:M50)</f>
        <v>949.18000000000006</v>
      </c>
      <c r="N52" s="117">
        <f>SUM(N2:N50)</f>
        <v>239.52</v>
      </c>
      <c r="O52" s="114">
        <f>SUM(O2:O50)</f>
        <v>792.96</v>
      </c>
      <c r="P52" s="114">
        <f>SUM(P2:P50)</f>
        <v>0</v>
      </c>
      <c r="Q52" s="114">
        <f>SUM(Q2:Q50)</f>
        <v>0</v>
      </c>
      <c r="R52" s="118">
        <f>SUM(R2:R50)</f>
        <v>25</v>
      </c>
      <c r="S52" s="114">
        <f>SUM(I52:R52)</f>
        <v>13193.090000000004</v>
      </c>
    </row>
    <row r="56" spans="1:19">
      <c r="C56" t="s">
        <v>164</v>
      </c>
    </row>
    <row r="57" spans="1:19" ht="29.25">
      <c r="C57" s="8" t="s">
        <v>42</v>
      </c>
      <c r="D57" s="17">
        <f>SUM(H2+H7+H8+H9+H10+H13+H17+H18+H21+H26+H27+H31+H34+H38+H41+H45+H46)</f>
        <v>5346.83</v>
      </c>
    </row>
    <row r="58" spans="1:19">
      <c r="C58" s="8" t="s">
        <v>43</v>
      </c>
      <c r="D58" s="17">
        <f>SUM(H4+H11+H14+H16+H22+H25+H30+H35+H39+H40+H44+H47)</f>
        <v>4538.3599999999988</v>
      </c>
    </row>
    <row r="59" spans="1:19" ht="29.25">
      <c r="C59" s="8" t="s">
        <v>45</v>
      </c>
    </row>
    <row r="60" spans="1:19" ht="29.25">
      <c r="C60" s="8" t="s">
        <v>46</v>
      </c>
    </row>
    <row r="61" spans="1:19" ht="29.25">
      <c r="C61" s="8" t="s">
        <v>47</v>
      </c>
    </row>
    <row r="62" spans="1:19">
      <c r="C62" s="8" t="s">
        <v>49</v>
      </c>
    </row>
    <row r="63" spans="1:19" ht="29.25">
      <c r="C63" s="8" t="s">
        <v>51</v>
      </c>
    </row>
    <row r="64" spans="1:19" ht="87">
      <c r="C64" s="8" t="s">
        <v>53</v>
      </c>
    </row>
    <row r="65" spans="3:3" ht="101.25">
      <c r="C65" s="8" t="s">
        <v>55</v>
      </c>
    </row>
    <row r="66" spans="3:3" ht="57.75">
      <c r="C66" s="8" t="s">
        <v>56</v>
      </c>
    </row>
    <row r="67" spans="3:3" ht="43.5">
      <c r="C67" s="8" t="s">
        <v>57</v>
      </c>
    </row>
    <row r="68" spans="3:3" ht="72.75">
      <c r="C68" s="8" t="s">
        <v>59</v>
      </c>
    </row>
    <row r="69" spans="3:3" ht="29.25">
      <c r="C69" s="8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Wray Clerk</cp:lastModifiedBy>
  <cp:revision/>
  <dcterms:created xsi:type="dcterms:W3CDTF">2025-09-15T11:28:29Z</dcterms:created>
  <dcterms:modified xsi:type="dcterms:W3CDTF">2026-04-09T16:59:27Z</dcterms:modified>
  <cp:category/>
  <cp:contentStatus/>
</cp:coreProperties>
</file>