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2"/>
  <workbookPr/>
  <mc:AlternateContent xmlns:mc="http://schemas.openxmlformats.org/markup-compatibility/2006">
    <mc:Choice Requires="x15">
      <x15ac:absPath xmlns:x15ac="http://schemas.microsoft.com/office/spreadsheetml/2010/11/ac" url="C:\Users\abbie\Documents\Wray Parish Council\Accounts\Accounts 2024-25\"/>
    </mc:Choice>
  </mc:AlternateContent>
  <xr:revisionPtr revIDLastSave="407" documentId="13_ncr:1_{1A83097D-E5DC-4BB6-A9FC-EFA880819D0C}" xr6:coauthVersionLast="47" xr6:coauthVersionMax="47" xr10:uidLastSave="{D4C88AE5-A982-409F-AB47-CF7C80D838B4}"/>
  <bookViews>
    <workbookView xWindow="-110" yWindow="-110" windowWidth="19420" windowHeight="10420" firstSheet="1" activeTab="3" xr2:uid="{511EC928-DB2A-427C-ABCA-0B56C8B1C237}"/>
  </bookViews>
  <sheets>
    <sheet name="Accounts 2024-25" sheetId="1" r:id="rId1"/>
    <sheet name="Bank Reconciliation" sheetId="4" r:id="rId2"/>
    <sheet name="Income" sheetId="3" r:id="rId3"/>
    <sheet name="Expenses" sheetId="2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3" i="2" l="1"/>
  <c r="F42" i="2"/>
  <c r="B7" i="4"/>
  <c r="B16" i="4"/>
  <c r="M38" i="2"/>
  <c r="S38" i="2"/>
  <c r="H38" i="2"/>
  <c r="F38" i="2"/>
  <c r="L38" i="2"/>
  <c r="Y2" i="1"/>
  <c r="N14" i="1"/>
  <c r="S28" i="1"/>
  <c r="S2" i="1" s="1"/>
  <c r="N19" i="1"/>
  <c r="N25" i="1"/>
  <c r="T10" i="1"/>
  <c r="S11" i="1"/>
  <c r="N21" i="1"/>
  <c r="P15" i="1"/>
  <c r="N15" i="1"/>
  <c r="O6" i="1"/>
  <c r="O5" i="1"/>
  <c r="O4" i="1"/>
  <c r="O3" i="1"/>
  <c r="K11" i="1"/>
  <c r="M11" i="1"/>
  <c r="O11" i="1"/>
  <c r="Q26" i="1"/>
  <c r="O26" i="1"/>
  <c r="M26" i="1"/>
  <c r="K26" i="1"/>
  <c r="K25" i="1"/>
  <c r="M25" i="1"/>
  <c r="O25" i="1"/>
  <c r="Q24" i="1"/>
  <c r="O24" i="1"/>
  <c r="M24" i="1"/>
  <c r="K24" i="1"/>
  <c r="K23" i="1"/>
  <c r="M23" i="1"/>
  <c r="O23" i="1"/>
  <c r="Q23" i="1"/>
  <c r="Q22" i="1"/>
  <c r="O22" i="1"/>
  <c r="M22" i="1"/>
  <c r="K22" i="1"/>
  <c r="K21" i="1"/>
  <c r="M21" i="1"/>
  <c r="O21" i="1"/>
  <c r="Q21" i="1"/>
  <c r="Q20" i="1"/>
  <c r="O20" i="1"/>
  <c r="M20" i="1"/>
  <c r="K20" i="1"/>
  <c r="K19" i="1"/>
  <c r="M19" i="1"/>
  <c r="O19" i="1"/>
  <c r="Q19" i="1"/>
  <c r="Q18" i="1"/>
  <c r="O18" i="1"/>
  <c r="M18" i="1"/>
  <c r="K18" i="1"/>
  <c r="Q15" i="1"/>
  <c r="O15" i="1"/>
  <c r="M15" i="1"/>
  <c r="K15" i="1"/>
  <c r="K14" i="1"/>
  <c r="M14" i="1"/>
  <c r="O14" i="1"/>
  <c r="Q14" i="1"/>
  <c r="Q9" i="1"/>
  <c r="Q11" i="1"/>
  <c r="Q10" i="1"/>
  <c r="L15" i="1"/>
  <c r="L14" i="1"/>
  <c r="L21" i="1"/>
  <c r="L25" i="1"/>
  <c r="R38" i="2"/>
  <c r="Q38" i="2"/>
  <c r="P38" i="2"/>
  <c r="O38" i="2"/>
  <c r="N38" i="2"/>
  <c r="K38" i="2"/>
  <c r="J38" i="2"/>
  <c r="I38" i="2"/>
  <c r="U2" i="1" l="1"/>
  <c r="W4" i="1" s="1"/>
  <c r="T2" i="1"/>
  <c r="J28" i="1" l="1"/>
  <c r="K28" i="1" s="1"/>
  <c r="Q17" i="1"/>
  <c r="O17" i="1"/>
  <c r="M17" i="1"/>
  <c r="K17" i="1"/>
  <c r="L28" i="1"/>
  <c r="M28" i="1" s="1"/>
  <c r="P11" i="1"/>
  <c r="N11" i="1"/>
  <c r="L11" i="1"/>
  <c r="J11" i="1"/>
  <c r="O10" i="1"/>
  <c r="M10" i="1"/>
  <c r="K10" i="1"/>
  <c r="Q6" i="1"/>
  <c r="M6" i="1"/>
  <c r="K6" i="1"/>
  <c r="Q5" i="1"/>
  <c r="M5" i="1"/>
  <c r="K5" i="1"/>
  <c r="Q4" i="1"/>
  <c r="M4" i="1"/>
  <c r="K4" i="1"/>
  <c r="Q3" i="1"/>
  <c r="M3" i="1"/>
  <c r="K3" i="1"/>
  <c r="Q2" i="1"/>
  <c r="O2" i="1"/>
  <c r="M2" i="1"/>
  <c r="K2" i="1"/>
  <c r="B9" i="4"/>
  <c r="B14" i="4" s="1"/>
  <c r="C18" i="4" s="1"/>
  <c r="D10" i="3"/>
  <c r="K5" i="3"/>
  <c r="K2" i="3"/>
  <c r="K10" i="3" s="1"/>
  <c r="G28" i="1"/>
  <c r="H28" i="1" s="1"/>
  <c r="F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G11" i="1"/>
  <c r="H11" i="1" s="1"/>
  <c r="F11" i="1"/>
  <c r="H10" i="1"/>
  <c r="H9" i="1"/>
  <c r="H8" i="1"/>
  <c r="H7" i="1"/>
  <c r="H6" i="1"/>
  <c r="H5" i="1"/>
  <c r="H4" i="1"/>
  <c r="H3" i="1"/>
  <c r="H2" i="1"/>
  <c r="N28" i="1" l="1"/>
  <c r="O28" i="1" s="1"/>
  <c r="P25" i="1"/>
  <c r="Q25" i="1" s="1"/>
  <c r="P28" i="1" l="1"/>
  <c r="Q28" i="1" s="1"/>
</calcChain>
</file>

<file path=xl/sharedStrings.xml><?xml version="1.0" encoding="utf-8"?>
<sst xmlns="http://schemas.openxmlformats.org/spreadsheetml/2006/main" count="249" uniqueCount="178">
  <si>
    <t>INCOME</t>
  </si>
  <si>
    <t>AGREED BUDGET 2021-22</t>
  </si>
  <si>
    <t>End of year 2021-22</t>
  </si>
  <si>
    <t>Forecast for 2022-23</t>
  </si>
  <si>
    <t>2022-23 AGREED BUDGET</t>
  </si>
  <si>
    <t>2023-24 AGREED BUDGET</t>
  </si>
  <si>
    <t>2024-25 AGREED INCOME</t>
  </si>
  <si>
    <t>%change from previous year</t>
  </si>
  <si>
    <t>First Quarter</t>
  </si>
  <si>
    <t>% of budget obtained</t>
  </si>
  <si>
    <t>Bi-annual</t>
  </si>
  <si>
    <t>Third Quarter</t>
  </si>
  <si>
    <t>Year End</t>
  </si>
  <si>
    <t>proposed budget 2025-26</t>
  </si>
  <si>
    <t>proposed parish tax rate next yr</t>
  </si>
  <si>
    <t>Divided by Parish Tax Base last year</t>
  </si>
  <si>
    <t>PRECEPT</t>
  </si>
  <si>
    <t>Resulting Parish Tax Rate</t>
  </si>
  <si>
    <t>RUSH BUTTS</t>
  </si>
  <si>
    <t>precept divided by 220.91</t>
  </si>
  <si>
    <t>increase on PTR</t>
  </si>
  <si>
    <t>TOWN ALLOTMENTS</t>
  </si>
  <si>
    <t>INTEREST</t>
  </si>
  <si>
    <t>WAYLEAVE</t>
  </si>
  <si>
    <t>Refund</t>
  </si>
  <si>
    <t>Donations</t>
  </si>
  <si>
    <t>£ -</t>
  </si>
  <si>
    <t>NEIGHBOURHOOD PLAN</t>
  </si>
  <si>
    <t>LCC payment</t>
  </si>
  <si>
    <t>income less precept</t>
  </si>
  <si>
    <t>TOTAL INCOME</t>
  </si>
  <si>
    <t>PAYMENTS</t>
  </si>
  <si>
    <t>AGREED BUDGET 2020-21</t>
  </si>
  <si>
    <t>End of year 2020-21</t>
  </si>
  <si>
    <t>Forecast for 2021-22</t>
  </si>
  <si>
    <t>2021-22 AGREED BUDGET</t>
  </si>
  <si>
    <t>2023-24 AGREED EXPENDITURE</t>
  </si>
  <si>
    <t>% of budget used</t>
  </si>
  <si>
    <t>reasons for proposed budget</t>
  </si>
  <si>
    <t>LENGTHSMAN</t>
  </si>
  <si>
    <t>CLERK</t>
  </si>
  <si>
    <t>current wage + potential 3% increase</t>
  </si>
  <si>
    <t>HMRC TAX</t>
  </si>
  <si>
    <t>EXT AUDIT</t>
  </si>
  <si>
    <t>INSURANCE</t>
  </si>
  <si>
    <t>most insurance increasing by approx 30%</t>
  </si>
  <si>
    <t>LALC/ICO</t>
  </si>
  <si>
    <t>ico is £40 annually - Clerk does not anticipate any further training requirements next year</t>
  </si>
  <si>
    <t>TRAINING</t>
  </si>
  <si>
    <t>reserve for cllr training</t>
  </si>
  <si>
    <t>STATIONERY/OFFICE EXPENSES/ WEBSITE</t>
  </si>
  <si>
    <t>Big expense this year was laptop etc., Website was £312 next year: website £250, misc £100, subs for antivirus etc £100</t>
  </si>
  <si>
    <t>PLAYGROUND RENT/ MAINTENANCE/ BLOOMING WRAY</t>
  </si>
  <si>
    <t>NEIGHBOURHOOD PLANNING</t>
  </si>
  <si>
    <t>TREE ASSESSMENT</t>
  </si>
  <si>
    <t>Increased based on cost of tree work this year</t>
  </si>
  <si>
    <t>CONTINGENCY - VILLAGE PROJECTS</t>
  </si>
  <si>
    <t>£75 defib repair + £300 maintenance, painting railings on Flood Gardens (£1530 of this year's is for Land valuation report)</t>
  </si>
  <si>
    <t>Rent for land</t>
  </si>
  <si>
    <t>(Car parking/playground refurb)</t>
  </si>
  <si>
    <t>TOTAL PAYMENTS</t>
  </si>
  <si>
    <t>Santander Bank Reconciliation 2024-25</t>
  </si>
  <si>
    <t>Virgin</t>
  </si>
  <si>
    <t>incoming</t>
  </si>
  <si>
    <t>outgoing</t>
  </si>
  <si>
    <t>Opening Funds</t>
  </si>
  <si>
    <t>rent</t>
  </si>
  <si>
    <t>asda mobile</t>
  </si>
  <si>
    <t>credits</t>
  </si>
  <si>
    <t>debits</t>
  </si>
  <si>
    <t>transfer</t>
  </si>
  <si>
    <t>Income</t>
  </si>
  <si>
    <t>april</t>
  </si>
  <si>
    <t>may</t>
  </si>
  <si>
    <t>Expense</t>
  </si>
  <si>
    <t>less 323 accounted for in last year</t>
  </si>
  <si>
    <t>june</t>
  </si>
  <si>
    <t>july</t>
  </si>
  <si>
    <t>Closing Funds</t>
  </si>
  <si>
    <t>aug</t>
  </si>
  <si>
    <t>Other items</t>
  </si>
  <si>
    <t>sept</t>
  </si>
  <si>
    <t>oct</t>
  </si>
  <si>
    <t>nov</t>
  </si>
  <si>
    <t>dec-jan</t>
  </si>
  <si>
    <t>Consolidated accounts</t>
  </si>
  <si>
    <t>feb</t>
  </si>
  <si>
    <t>mar</t>
  </si>
  <si>
    <t>Bank Balance from statement</t>
  </si>
  <si>
    <t>Total</t>
  </si>
  <si>
    <t>discrepancy</t>
  </si>
  <si>
    <t>interest payment on Virgin account</t>
  </si>
  <si>
    <t>Santander balance 31st March 2025</t>
  </si>
  <si>
    <t>virgin balance 27th March 2025</t>
  </si>
  <si>
    <t>Misc</t>
  </si>
  <si>
    <t xml:space="preserve">Expected Income </t>
  </si>
  <si>
    <t>Received Income</t>
  </si>
  <si>
    <t>A</t>
  </si>
  <si>
    <t>Precept</t>
  </si>
  <si>
    <t>B</t>
  </si>
  <si>
    <t>Rushbutts</t>
  </si>
  <si>
    <t>not received</t>
  </si>
  <si>
    <t>C</t>
  </si>
  <si>
    <t>Wayleave payment</t>
  </si>
  <si>
    <t>D</t>
  </si>
  <si>
    <t>Parish Field Payment</t>
  </si>
  <si>
    <t>E</t>
  </si>
  <si>
    <t>PROW grant LCC</t>
  </si>
  <si>
    <t>F</t>
  </si>
  <si>
    <t>Orchard grant</t>
  </si>
  <si>
    <t>G</t>
  </si>
  <si>
    <t>Groundworks grant for N.P.</t>
  </si>
  <si>
    <t xml:space="preserve">       Date</t>
  </si>
  <si>
    <t>No</t>
  </si>
  <si>
    <t>Cheque</t>
  </si>
  <si>
    <t xml:space="preserve">               Payee</t>
  </si>
  <si>
    <t xml:space="preserve">                      Description</t>
  </si>
  <si>
    <t>Amount</t>
  </si>
  <si>
    <t>VAT</t>
  </si>
  <si>
    <t>Insurance</t>
  </si>
  <si>
    <t>Audit</t>
  </si>
  <si>
    <t>SLCC/LALC</t>
  </si>
  <si>
    <t>Wages</t>
  </si>
  <si>
    <t>Expenses</t>
  </si>
  <si>
    <t>Rep/Main</t>
  </si>
  <si>
    <t>Village greens</t>
  </si>
  <si>
    <t>NP</t>
  </si>
  <si>
    <t>Miscellaneous</t>
  </si>
  <si>
    <t>Rent</t>
  </si>
  <si>
    <t>M.D. Hanafin</t>
  </si>
  <si>
    <t>Tree surgeon</t>
  </si>
  <si>
    <t>LALC</t>
  </si>
  <si>
    <t>Cllr training</t>
  </si>
  <si>
    <t>A. Harrison</t>
  </si>
  <si>
    <t>Clerk's Wages</t>
  </si>
  <si>
    <t>H. Staveley</t>
  </si>
  <si>
    <t>Poo Bags</t>
  </si>
  <si>
    <t>AJ Gallagher</t>
  </si>
  <si>
    <t>R. Curwen</t>
  </si>
  <si>
    <t>Lengthsman</t>
  </si>
  <si>
    <t>J. Staveley</t>
  </si>
  <si>
    <t>Land rent</t>
  </si>
  <si>
    <t>Wray Village Store</t>
  </si>
  <si>
    <t>Plants</t>
  </si>
  <si>
    <t>Dr. S. Openshaw</t>
  </si>
  <si>
    <t>Defib repair case</t>
  </si>
  <si>
    <t>Reimburesment for purchase of laptop and phone plus accessories for P.C.</t>
  </si>
  <si>
    <t>Parish Online</t>
  </si>
  <si>
    <t>website</t>
  </si>
  <si>
    <t>C. Halstead</t>
  </si>
  <si>
    <t>VOID</t>
  </si>
  <si>
    <t>Lengthsman expenses</t>
  </si>
  <si>
    <t>110a</t>
  </si>
  <si>
    <t>bacs San</t>
  </si>
  <si>
    <t>ico</t>
  </si>
  <si>
    <t>VIRGIN BANK 111</t>
  </si>
  <si>
    <t>BACS</t>
  </si>
  <si>
    <t>Armistead Barnett</t>
  </si>
  <si>
    <t>financial register of assets</t>
  </si>
  <si>
    <t>19//12/24</t>
  </si>
  <si>
    <t>bacs</t>
  </si>
  <si>
    <t>SLCC</t>
  </si>
  <si>
    <t>clerk training</t>
  </si>
  <si>
    <t>BACs</t>
  </si>
  <si>
    <t>reimbursement to Clerk for dog poo bags</t>
  </si>
  <si>
    <t>lengthsman</t>
  </si>
  <si>
    <t>HMRC</t>
  </si>
  <si>
    <t>PAYE tax</t>
  </si>
  <si>
    <t>Bannister Hall Ltd</t>
  </si>
  <si>
    <t>Orchard trees</t>
  </si>
  <si>
    <t>16.09.2024</t>
  </si>
  <si>
    <t>ASDA</t>
  </si>
  <si>
    <t>mobile phone</t>
  </si>
  <si>
    <t xml:space="preserve"> Subs/don</t>
  </si>
  <si>
    <t>TOTAL</t>
  </si>
  <si>
    <t xml:space="preserve"> </t>
  </si>
  <si>
    <t>total lengthsman</t>
  </si>
  <si>
    <t>total Clerk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</si>
</sst>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£&quot;#,##0;[Red]\-&quot;£&quot;#,##0"/>
    <numFmt numFmtId="8" formatCode="&quot;£&quot;#,##0.00;[Red]\-&quot;£&quot;#,##0.00"/>
    <numFmt numFmtId="44" formatCode="_-&quot;£&quot;* #,##0.00_-;\-&quot;£&quot;* #,##0.00_-;_-&quot;£&quot;* &quot;-&quot;??_-;_-@_-"/>
    <numFmt numFmtId="164" formatCode="&quot;£&quot;#,##0.00"/>
  </numFmts>
  <fonts count="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00B050"/>
      <name val="Aptos Narrow"/>
      <family val="2"/>
      <scheme val="minor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EB84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BDC8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/>
        <bgColor indexed="64"/>
      </patternFill>
    </fill>
  </fills>
  <borders count="3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7">
    <xf numFmtId="0" fontId="0" fillId="0" borderId="0" xfId="0"/>
    <xf numFmtId="0" fontId="2" fillId="0" borderId="1" xfId="0" applyFont="1" applyBorder="1" applyAlignment="1">
      <alignment wrapText="1"/>
    </xf>
    <xf numFmtId="0" fontId="2" fillId="2" borderId="2" xfId="0" applyFont="1" applyFill="1" applyBorder="1" applyAlignment="1">
      <alignment horizontal="right" wrapText="1"/>
    </xf>
    <xf numFmtId="0" fontId="2" fillId="0" borderId="2" xfId="0" applyFont="1" applyBorder="1" applyAlignment="1">
      <alignment wrapText="1"/>
    </xf>
    <xf numFmtId="0" fontId="2" fillId="2" borderId="2" xfId="0" applyFont="1" applyFill="1" applyBorder="1" applyAlignment="1">
      <alignment wrapText="1"/>
    </xf>
    <xf numFmtId="0" fontId="2" fillId="3" borderId="2" xfId="0" applyFont="1" applyFill="1" applyBorder="1" applyAlignment="1">
      <alignment wrapText="1"/>
    </xf>
    <xf numFmtId="0" fontId="0" fillId="0" borderId="3" xfId="0" applyBorder="1" applyAlignment="1">
      <alignment wrapText="1"/>
    </xf>
    <xf numFmtId="8" fontId="0" fillId="2" borderId="4" xfId="0" applyNumberFormat="1" applyFill="1" applyBorder="1" applyAlignment="1">
      <alignment horizontal="right" wrapText="1"/>
    </xf>
    <xf numFmtId="8" fontId="0" fillId="0" borderId="4" xfId="0" applyNumberFormat="1" applyBorder="1" applyAlignment="1">
      <alignment horizontal="right" wrapText="1"/>
    </xf>
    <xf numFmtId="10" fontId="0" fillId="0" borderId="4" xfId="0" applyNumberFormat="1" applyBorder="1" applyAlignment="1">
      <alignment horizontal="right" wrapText="1"/>
    </xf>
    <xf numFmtId="164" fontId="0" fillId="0" borderId="5" xfId="0" applyNumberFormat="1" applyBorder="1"/>
    <xf numFmtId="8" fontId="0" fillId="3" borderId="4" xfId="0" applyNumberFormat="1" applyFill="1" applyBorder="1" applyAlignment="1">
      <alignment horizontal="right" wrapText="1"/>
    </xf>
    <xf numFmtId="10" fontId="0" fillId="4" borderId="4" xfId="0" applyNumberFormat="1" applyFill="1" applyBorder="1" applyAlignment="1">
      <alignment horizontal="right" wrapText="1"/>
    </xf>
    <xf numFmtId="0" fontId="0" fillId="0" borderId="4" xfId="0" applyBorder="1" applyAlignment="1">
      <alignment horizontal="right" wrapText="1"/>
    </xf>
    <xf numFmtId="0" fontId="0" fillId="0" borderId="4" xfId="0" applyBorder="1" applyAlignment="1">
      <alignment wrapText="1"/>
    </xf>
    <xf numFmtId="0" fontId="0" fillId="2" borderId="4" xfId="0" applyFill="1" applyBorder="1" applyAlignment="1">
      <alignment wrapText="1"/>
    </xf>
    <xf numFmtId="0" fontId="0" fillId="3" borderId="4" xfId="0" applyFill="1" applyBorder="1" applyAlignment="1">
      <alignment wrapText="1"/>
    </xf>
    <xf numFmtId="0" fontId="2" fillId="2" borderId="3" xfId="0" applyFont="1" applyFill="1" applyBorder="1" applyAlignment="1">
      <alignment wrapText="1"/>
    </xf>
    <xf numFmtId="0" fontId="2" fillId="2" borderId="4" xfId="0" applyFont="1" applyFill="1" applyBorder="1" applyAlignment="1">
      <alignment horizontal="right" wrapText="1"/>
    </xf>
    <xf numFmtId="164" fontId="0" fillId="3" borderId="5" xfId="0" applyNumberFormat="1" applyFill="1" applyBorder="1"/>
    <xf numFmtId="8" fontId="2" fillId="2" borderId="4" xfId="0" applyNumberFormat="1" applyFont="1" applyFill="1" applyBorder="1" applyAlignment="1">
      <alignment horizontal="right" wrapText="1"/>
    </xf>
    <xf numFmtId="10" fontId="3" fillId="0" borderId="4" xfId="0" applyNumberFormat="1" applyFont="1" applyBorder="1" applyAlignment="1">
      <alignment horizontal="right" wrapText="1"/>
    </xf>
    <xf numFmtId="164" fontId="0" fillId="0" borderId="0" xfId="0" applyNumberFormat="1"/>
    <xf numFmtId="0" fontId="2" fillId="5" borderId="3" xfId="0" applyFont="1" applyFill="1" applyBorder="1" applyAlignment="1">
      <alignment wrapText="1"/>
    </xf>
    <xf numFmtId="0" fontId="2" fillId="5" borderId="2" xfId="0" applyFont="1" applyFill="1" applyBorder="1" applyAlignment="1">
      <alignment horizontal="right" wrapText="1"/>
    </xf>
    <xf numFmtId="0" fontId="2" fillId="5" borderId="2" xfId="0" applyFont="1" applyFill="1" applyBorder="1" applyAlignment="1">
      <alignment wrapText="1"/>
    </xf>
    <xf numFmtId="10" fontId="0" fillId="6" borderId="4" xfId="0" applyNumberFormat="1" applyFill="1" applyBorder="1" applyAlignment="1">
      <alignment horizontal="right" wrapText="1"/>
    </xf>
    <xf numFmtId="0" fontId="0" fillId="2" borderId="4" xfId="0" applyFill="1" applyBorder="1" applyAlignment="1">
      <alignment horizontal="right" wrapText="1"/>
    </xf>
    <xf numFmtId="0" fontId="0" fillId="0" borderId="6" xfId="0" applyBorder="1" applyAlignment="1">
      <alignment vertical="center"/>
    </xf>
    <xf numFmtId="0" fontId="4" fillId="0" borderId="8" xfId="0" applyFont="1" applyBorder="1" applyAlignment="1">
      <alignment horizontal="left" wrapText="1"/>
    </xf>
    <xf numFmtId="44" fontId="1" fillId="0" borderId="5" xfId="1" applyFont="1" applyBorder="1" applyAlignment="1">
      <alignment horizontal="left" wrapText="1"/>
    </xf>
    <xf numFmtId="44" fontId="4" fillId="0" borderId="5" xfId="1" applyFont="1" applyBorder="1" applyAlignment="1">
      <alignment horizontal="left" wrapText="1"/>
    </xf>
    <xf numFmtId="44" fontId="4" fillId="0" borderId="9" xfId="1" applyFont="1" applyBorder="1" applyAlignment="1">
      <alignment horizontal="left" wrapText="1"/>
    </xf>
    <xf numFmtId="44" fontId="1" fillId="7" borderId="5" xfId="1" applyFont="1" applyFill="1" applyBorder="1" applyAlignment="1">
      <alignment horizontal="left" wrapText="1"/>
    </xf>
    <xf numFmtId="44" fontId="4" fillId="7" borderId="9" xfId="1" applyFont="1" applyFill="1" applyBorder="1" applyAlignment="1">
      <alignment horizontal="left" wrapText="1"/>
    </xf>
    <xf numFmtId="14" fontId="0" fillId="0" borderId="0" xfId="0" applyNumberFormat="1"/>
    <xf numFmtId="6" fontId="1" fillId="7" borderId="5" xfId="1" applyNumberFormat="1" applyFont="1" applyFill="1" applyBorder="1" applyAlignment="1">
      <alignment horizontal="left" wrapText="1"/>
    </xf>
    <xf numFmtId="44" fontId="4" fillId="3" borderId="9" xfId="1" applyFont="1" applyFill="1" applyBorder="1" applyAlignment="1">
      <alignment horizontal="left" wrapText="1"/>
    </xf>
    <xf numFmtId="44" fontId="1" fillId="8" borderId="5" xfId="1" applyFont="1" applyFill="1" applyBorder="1" applyAlignment="1">
      <alignment horizontal="left" wrapText="1"/>
    </xf>
    <xf numFmtId="44" fontId="4" fillId="8" borderId="9" xfId="1" applyFont="1" applyFill="1" applyBorder="1" applyAlignment="1">
      <alignment horizontal="left" wrapText="1"/>
    </xf>
    <xf numFmtId="0" fontId="4" fillId="0" borderId="10" xfId="0" applyFont="1" applyBorder="1" applyAlignment="1">
      <alignment horizontal="left" wrapText="1"/>
    </xf>
    <xf numFmtId="44" fontId="1" fillId="8" borderId="11" xfId="1" applyFont="1" applyFill="1" applyBorder="1" applyAlignment="1">
      <alignment horizontal="left" wrapText="1"/>
    </xf>
    <xf numFmtId="44" fontId="4" fillId="0" borderId="11" xfId="1" applyFont="1" applyBorder="1" applyAlignment="1">
      <alignment horizontal="left" wrapText="1"/>
    </xf>
    <xf numFmtId="44" fontId="4" fillId="8" borderId="12" xfId="1" applyFont="1" applyFill="1" applyBorder="1" applyAlignment="1">
      <alignment horizontal="left" wrapText="1"/>
    </xf>
    <xf numFmtId="0" fontId="4" fillId="0" borderId="13" xfId="0" applyFont="1" applyBorder="1" applyAlignment="1">
      <alignment horizontal="left" wrapText="1"/>
    </xf>
    <xf numFmtId="44" fontId="1" fillId="0" borderId="14" xfId="1" applyFont="1" applyBorder="1" applyAlignment="1">
      <alignment horizontal="left" wrapText="1"/>
    </xf>
    <xf numFmtId="44" fontId="4" fillId="0" borderId="14" xfId="1" applyFont="1" applyBorder="1" applyAlignment="1">
      <alignment horizontal="left" wrapText="1"/>
    </xf>
    <xf numFmtId="44" fontId="4" fillId="0" borderId="15" xfId="1" applyFont="1" applyBorder="1" applyAlignment="1">
      <alignment horizontal="left" wrapText="1"/>
    </xf>
    <xf numFmtId="8" fontId="0" fillId="0" borderId="0" xfId="0" applyNumberFormat="1"/>
    <xf numFmtId="0" fontId="2" fillId="0" borderId="0" xfId="0" applyFont="1" applyAlignment="1">
      <alignment vertical="center" wrapText="1"/>
    </xf>
    <xf numFmtId="10" fontId="2" fillId="0" borderId="0" xfId="0" applyNumberFormat="1" applyFont="1" applyAlignment="1">
      <alignment vertical="center" wrapText="1"/>
    </xf>
    <xf numFmtId="164" fontId="2" fillId="0" borderId="0" xfId="0" applyNumberFormat="1" applyFont="1" applyAlignment="1">
      <alignment vertical="center" wrapText="1"/>
    </xf>
    <xf numFmtId="10" fontId="0" fillId="0" borderId="0" xfId="0" applyNumberFormat="1"/>
    <xf numFmtId="10" fontId="0" fillId="9" borderId="0" xfId="0" applyNumberFormat="1" applyFill="1"/>
    <xf numFmtId="10" fontId="0" fillId="11" borderId="0" xfId="0" applyNumberFormat="1" applyFill="1"/>
    <xf numFmtId="0" fontId="1" fillId="0" borderId="5" xfId="1" applyNumberFormat="1" applyFont="1" applyBorder="1" applyAlignment="1">
      <alignment horizontal="left" wrapText="1"/>
    </xf>
    <xf numFmtId="164" fontId="1" fillId="0" borderId="5" xfId="1" applyNumberFormat="1" applyFont="1" applyBorder="1" applyAlignment="1">
      <alignment horizontal="left" wrapText="1"/>
    </xf>
    <xf numFmtId="164" fontId="0" fillId="0" borderId="5" xfId="0" applyNumberFormat="1" applyBorder="1" applyAlignment="1">
      <alignment wrapText="1"/>
    </xf>
    <xf numFmtId="14" fontId="0" fillId="0" borderId="8" xfId="0" applyNumberFormat="1" applyBorder="1" applyAlignment="1">
      <alignment wrapText="1"/>
    </xf>
    <xf numFmtId="0" fontId="0" fillId="0" borderId="5" xfId="0" applyBorder="1" applyAlignment="1">
      <alignment wrapText="1"/>
    </xf>
    <xf numFmtId="164" fontId="0" fillId="0" borderId="9" xfId="0" applyNumberFormat="1" applyBorder="1" applyAlignment="1">
      <alignment wrapText="1"/>
    </xf>
    <xf numFmtId="164" fontId="0" fillId="0" borderId="7" xfId="0" applyNumberFormat="1" applyBorder="1" applyAlignment="1">
      <alignment wrapText="1"/>
    </xf>
    <xf numFmtId="164" fontId="0" fillId="3" borderId="5" xfId="0" applyNumberFormat="1" applyFill="1" applyBorder="1" applyAlignment="1">
      <alignment wrapText="1"/>
    </xf>
    <xf numFmtId="164" fontId="0" fillId="5" borderId="5" xfId="0" applyNumberFormat="1" applyFill="1" applyBorder="1" applyAlignment="1">
      <alignment wrapText="1"/>
    </xf>
    <xf numFmtId="164" fontId="0" fillId="7" borderId="5" xfId="0" applyNumberFormat="1" applyFill="1" applyBorder="1" applyAlignment="1">
      <alignment wrapText="1"/>
    </xf>
    <xf numFmtId="14" fontId="1" fillId="0" borderId="8" xfId="1" applyNumberFormat="1" applyFont="1" applyBorder="1" applyAlignment="1">
      <alignment horizontal="left" textRotation="90" wrapText="1"/>
    </xf>
    <xf numFmtId="0" fontId="1" fillId="0" borderId="5" xfId="1" applyNumberFormat="1" applyFont="1" applyBorder="1" applyAlignment="1">
      <alignment horizontal="left" textRotation="90" wrapText="1"/>
    </xf>
    <xf numFmtId="0" fontId="1" fillId="0" borderId="5" xfId="0" applyFont="1" applyBorder="1" applyAlignment="1">
      <alignment horizontal="left" textRotation="90" wrapText="1"/>
    </xf>
    <xf numFmtId="164" fontId="1" fillId="0" borderId="5" xfId="1" applyNumberFormat="1" applyFont="1" applyBorder="1" applyAlignment="1">
      <alignment horizontal="left" textRotation="90" wrapText="1"/>
    </xf>
    <xf numFmtId="164" fontId="2" fillId="0" borderId="5" xfId="1" applyNumberFormat="1" applyFont="1" applyBorder="1" applyAlignment="1">
      <alignment horizontal="left" textRotation="90" wrapText="1"/>
    </xf>
    <xf numFmtId="164" fontId="2" fillId="0" borderId="9" xfId="1" applyNumberFormat="1" applyFont="1" applyBorder="1" applyAlignment="1">
      <alignment horizontal="left" textRotation="90" wrapText="1"/>
    </xf>
    <xf numFmtId="164" fontId="2" fillId="0" borderId="7" xfId="1" applyNumberFormat="1" applyFont="1" applyBorder="1" applyAlignment="1">
      <alignment horizontal="left" textRotation="90" wrapText="1"/>
    </xf>
    <xf numFmtId="164" fontId="2" fillId="3" borderId="5" xfId="1" applyNumberFormat="1" applyFont="1" applyFill="1" applyBorder="1" applyAlignment="1">
      <alignment horizontal="left" textRotation="90" wrapText="1"/>
    </xf>
    <xf numFmtId="164" fontId="2" fillId="5" borderId="5" xfId="1" applyNumberFormat="1" applyFont="1" applyFill="1" applyBorder="1" applyAlignment="1">
      <alignment horizontal="left" textRotation="90" wrapText="1"/>
    </xf>
    <xf numFmtId="164" fontId="2" fillId="7" borderId="5" xfId="1" applyNumberFormat="1" applyFont="1" applyFill="1" applyBorder="1" applyAlignment="1">
      <alignment horizontal="left" textRotation="90" wrapText="1"/>
    </xf>
    <xf numFmtId="164" fontId="2" fillId="0" borderId="0" xfId="0" applyNumberFormat="1" applyFont="1" applyAlignment="1">
      <alignment textRotation="90" wrapText="1"/>
    </xf>
    <xf numFmtId="14" fontId="5" fillId="0" borderId="13" xfId="0" applyNumberFormat="1" applyFont="1" applyBorder="1" applyAlignment="1">
      <alignment wrapText="1"/>
    </xf>
    <xf numFmtId="0" fontId="5" fillId="0" borderId="14" xfId="1" applyNumberFormat="1" applyFont="1" applyBorder="1" applyAlignment="1">
      <alignment horizontal="left" wrapText="1"/>
    </xf>
    <xf numFmtId="0" fontId="5" fillId="0" borderId="14" xfId="0" applyFont="1" applyBorder="1" applyAlignment="1">
      <alignment wrapText="1"/>
    </xf>
    <xf numFmtId="164" fontId="5" fillId="0" borderId="14" xfId="0" applyNumberFormat="1" applyFont="1" applyBorder="1" applyAlignment="1">
      <alignment wrapText="1"/>
    </xf>
    <xf numFmtId="164" fontId="5" fillId="0" borderId="15" xfId="0" applyNumberFormat="1" applyFont="1" applyBorder="1" applyAlignment="1">
      <alignment wrapText="1"/>
    </xf>
    <xf numFmtId="164" fontId="5" fillId="0" borderId="7" xfId="0" applyNumberFormat="1" applyFont="1" applyBorder="1" applyAlignment="1">
      <alignment wrapText="1"/>
    </xf>
    <xf numFmtId="164" fontId="5" fillId="0" borderId="5" xfId="0" applyNumberFormat="1" applyFont="1" applyBorder="1" applyAlignment="1">
      <alignment wrapText="1"/>
    </xf>
    <xf numFmtId="164" fontId="5" fillId="3" borderId="5" xfId="0" applyNumberFormat="1" applyFont="1" applyFill="1" applyBorder="1" applyAlignment="1">
      <alignment wrapText="1"/>
    </xf>
    <xf numFmtId="164" fontId="5" fillId="5" borderId="5" xfId="0" applyNumberFormat="1" applyFont="1" applyFill="1" applyBorder="1" applyAlignment="1">
      <alignment wrapText="1"/>
    </xf>
    <xf numFmtId="164" fontId="5" fillId="7" borderId="5" xfId="0" applyNumberFormat="1" applyFont="1" applyFill="1" applyBorder="1" applyAlignment="1">
      <alignment wrapText="1"/>
    </xf>
    <xf numFmtId="164" fontId="5" fillId="0" borderId="0" xfId="0" applyNumberFormat="1" applyFont="1"/>
    <xf numFmtId="14" fontId="2" fillId="0" borderId="16" xfId="1" applyNumberFormat="1" applyFont="1" applyBorder="1" applyAlignment="1">
      <alignment horizontal="center" textRotation="90" wrapText="1"/>
    </xf>
    <xf numFmtId="0" fontId="2" fillId="0" borderId="17" xfId="1" applyNumberFormat="1" applyFont="1" applyBorder="1" applyAlignment="1">
      <alignment horizontal="center" textRotation="90" wrapText="1"/>
    </xf>
    <xf numFmtId="0" fontId="2" fillId="0" borderId="17" xfId="0" applyFont="1" applyBorder="1" applyAlignment="1">
      <alignment horizontal="center" textRotation="90" wrapText="1"/>
    </xf>
    <xf numFmtId="164" fontId="2" fillId="0" borderId="17" xfId="1" applyNumberFormat="1" applyFont="1" applyBorder="1" applyAlignment="1">
      <alignment horizontal="center" textRotation="90" wrapText="1"/>
    </xf>
    <xf numFmtId="164" fontId="2" fillId="0" borderId="18" xfId="1" applyNumberFormat="1" applyFont="1" applyBorder="1" applyAlignment="1">
      <alignment horizontal="center" textRotation="90" wrapText="1"/>
    </xf>
    <xf numFmtId="164" fontId="2" fillId="0" borderId="19" xfId="1" applyNumberFormat="1" applyFont="1" applyBorder="1" applyAlignment="1">
      <alignment horizontal="center" textRotation="90" wrapText="1"/>
    </xf>
    <xf numFmtId="164" fontId="2" fillId="0" borderId="11" xfId="1" applyNumberFormat="1" applyFont="1" applyBorder="1" applyAlignment="1">
      <alignment horizontal="center" textRotation="90" wrapText="1"/>
    </xf>
    <xf numFmtId="164" fontId="2" fillId="3" borderId="11" xfId="1" applyNumberFormat="1" applyFont="1" applyFill="1" applyBorder="1" applyAlignment="1">
      <alignment horizontal="center" textRotation="90" wrapText="1"/>
    </xf>
    <xf numFmtId="164" fontId="2" fillId="5" borderId="11" xfId="1" applyNumberFormat="1" applyFont="1" applyFill="1" applyBorder="1" applyAlignment="1">
      <alignment horizontal="center" textRotation="90" wrapText="1"/>
    </xf>
    <xf numFmtId="164" fontId="2" fillId="7" borderId="11" xfId="1" applyNumberFormat="1" applyFont="1" applyFill="1" applyBorder="1" applyAlignment="1">
      <alignment horizontal="center" textRotation="90" wrapText="1"/>
    </xf>
    <xf numFmtId="14" fontId="0" fillId="0" borderId="20" xfId="0" applyNumberFormat="1" applyBorder="1" applyAlignment="1">
      <alignment wrapText="1"/>
    </xf>
    <xf numFmtId="0" fontId="0" fillId="0" borderId="21" xfId="0" applyBorder="1" applyAlignment="1">
      <alignment wrapText="1"/>
    </xf>
    <xf numFmtId="164" fontId="0" fillId="0" borderId="21" xfId="0" applyNumberFormat="1" applyBorder="1" applyAlignment="1">
      <alignment wrapText="1"/>
    </xf>
    <xf numFmtId="164" fontId="0" fillId="0" borderId="22" xfId="0" applyNumberFormat="1" applyBorder="1" applyAlignment="1">
      <alignment wrapText="1"/>
    </xf>
    <xf numFmtId="164" fontId="0" fillId="0" borderId="23" xfId="0" applyNumberFormat="1" applyBorder="1" applyAlignment="1">
      <alignment wrapText="1"/>
    </xf>
    <xf numFmtId="164" fontId="0" fillId="3" borderId="21" xfId="0" applyNumberFormat="1" applyFill="1" applyBorder="1" applyAlignment="1">
      <alignment wrapText="1"/>
    </xf>
    <xf numFmtId="164" fontId="0" fillId="5" borderId="21" xfId="0" applyNumberFormat="1" applyFill="1" applyBorder="1" applyAlignment="1">
      <alignment wrapText="1"/>
    </xf>
    <xf numFmtId="164" fontId="0" fillId="7" borderId="21" xfId="0" applyNumberFormat="1" applyFill="1" applyBorder="1" applyAlignment="1">
      <alignment wrapText="1"/>
    </xf>
    <xf numFmtId="14" fontId="0" fillId="0" borderId="5" xfId="0" applyNumberFormat="1" applyBorder="1"/>
    <xf numFmtId="0" fontId="0" fillId="0" borderId="5" xfId="0" applyBorder="1"/>
    <xf numFmtId="164" fontId="0" fillId="5" borderId="5" xfId="0" applyNumberFormat="1" applyFill="1" applyBorder="1"/>
    <xf numFmtId="164" fontId="0" fillId="7" borderId="5" xfId="0" applyNumberFormat="1" applyFill="1" applyBorder="1"/>
    <xf numFmtId="10" fontId="0" fillId="7" borderId="0" xfId="0" applyNumberFormat="1" applyFill="1"/>
    <xf numFmtId="0" fontId="0" fillId="10" borderId="0" xfId="0" applyNumberFormat="1" applyFill="1"/>
    <xf numFmtId="0" fontId="0" fillId="0" borderId="0" xfId="0" applyAlignment="1">
      <alignment wrapText="1"/>
    </xf>
    <xf numFmtId="0" fontId="0" fillId="12" borderId="26" xfId="0" applyFill="1" applyBorder="1"/>
    <xf numFmtId="0" fontId="0" fillId="12" borderId="27" xfId="0" applyFill="1" applyBorder="1"/>
    <xf numFmtId="0" fontId="0" fillId="12" borderId="28" xfId="0" applyFill="1" applyBorder="1"/>
    <xf numFmtId="0" fontId="0" fillId="12" borderId="29" xfId="0" applyFill="1" applyBorder="1"/>
    <xf numFmtId="0" fontId="0" fillId="12" borderId="30" xfId="0" applyFill="1" applyBorder="1"/>
    <xf numFmtId="8" fontId="0" fillId="12" borderId="31" xfId="0" applyNumberFormat="1" applyFill="1" applyBorder="1"/>
    <xf numFmtId="0" fontId="0" fillId="13" borderId="24" xfId="0" applyFill="1" applyBorder="1"/>
    <xf numFmtId="0" fontId="0" fillId="13" borderId="25" xfId="0" applyFill="1" applyBorder="1"/>
    <xf numFmtId="0" fontId="0" fillId="13" borderId="32" xfId="0" applyFill="1" applyBorder="1"/>
    <xf numFmtId="10" fontId="0" fillId="13" borderId="25" xfId="0" applyNumberFormat="1" applyFill="1" applyBorder="1"/>
    <xf numFmtId="0" fontId="0" fillId="14" borderId="24" xfId="0" applyFill="1" applyBorder="1"/>
    <xf numFmtId="0" fontId="0" fillId="14" borderId="25" xfId="0" applyFill="1" applyBorder="1"/>
    <xf numFmtId="164" fontId="0" fillId="0" borderId="0" xfId="0" applyNumberFormat="1" applyBorder="1" applyAlignment="1">
      <alignment wrapText="1"/>
    </xf>
    <xf numFmtId="8" fontId="4" fillId="3" borderId="9" xfId="1" applyNumberFormat="1" applyFont="1" applyFill="1" applyBorder="1" applyAlignment="1">
      <alignment horizontal="left" wrapText="1"/>
    </xf>
    <xf numFmtId="8" fontId="0" fillId="0" borderId="0" xfId="0" applyNumberFormat="1" applyAlignment="1">
      <alignment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5D2A8F-E380-467C-8D4F-A7DAE5A49FDF}">
  <dimension ref="A1:Y28"/>
  <sheetViews>
    <sheetView workbookViewId="0">
      <selection activeCell="P17" sqref="P17"/>
    </sheetView>
  </sheetViews>
  <sheetFormatPr defaultRowHeight="14.45"/>
  <cols>
    <col min="2" max="2" width="13.85546875" hidden="1" customWidth="1"/>
    <col min="3" max="5" width="0" hidden="1" customWidth="1"/>
    <col min="6" max="6" width="12.5703125" customWidth="1"/>
    <col min="7" max="7" width="12" customWidth="1"/>
    <col min="12" max="12" width="10.85546875" customWidth="1"/>
    <col min="14" max="14" width="20.42578125" bestFit="1" customWidth="1"/>
    <col min="16" max="16" width="9.5703125" bestFit="1" customWidth="1"/>
    <col min="19" max="19" width="22.85546875" bestFit="1" customWidth="1"/>
    <col min="20" max="20" width="36.5703125" bestFit="1" customWidth="1"/>
    <col min="21" max="21" width="27.42578125" bestFit="1" customWidth="1"/>
    <col min="23" max="23" width="30.85546875" bestFit="1" customWidth="1"/>
  </cols>
  <sheetData>
    <row r="1" spans="1:25" ht="57.75">
      <c r="A1" s="1" t="s">
        <v>0</v>
      </c>
      <c r="B1" s="2" t="s">
        <v>1</v>
      </c>
      <c r="C1" s="3" t="s">
        <v>2</v>
      </c>
      <c r="D1" s="3" t="s">
        <v>3</v>
      </c>
      <c r="E1" s="4" t="s">
        <v>4</v>
      </c>
      <c r="F1" s="4" t="s">
        <v>5</v>
      </c>
      <c r="G1" s="5" t="s">
        <v>6</v>
      </c>
      <c r="H1" s="3" t="s">
        <v>7</v>
      </c>
      <c r="J1" s="49" t="s">
        <v>8</v>
      </c>
      <c r="K1" s="50" t="s">
        <v>9</v>
      </c>
      <c r="L1" s="51" t="s">
        <v>10</v>
      </c>
      <c r="M1" s="50" t="s">
        <v>9</v>
      </c>
      <c r="N1" s="49" t="s">
        <v>11</v>
      </c>
      <c r="O1" s="50" t="s">
        <v>9</v>
      </c>
      <c r="P1" s="49" t="s">
        <v>12</v>
      </c>
      <c r="Q1" s="50" t="s">
        <v>9</v>
      </c>
      <c r="S1" s="122" t="s">
        <v>13</v>
      </c>
      <c r="T1" t="s">
        <v>7</v>
      </c>
      <c r="U1" s="118" t="s">
        <v>14</v>
      </c>
      <c r="W1" s="112" t="s">
        <v>15</v>
      </c>
      <c r="X1" s="113"/>
      <c r="Y1" s="114">
        <v>215.45</v>
      </c>
    </row>
    <row r="2" spans="1:25" ht="15">
      <c r="A2" s="6" t="s">
        <v>16</v>
      </c>
      <c r="B2" s="7">
        <v>9105.77</v>
      </c>
      <c r="C2" s="8">
        <v>9106</v>
      </c>
      <c r="D2" s="9">
        <v>1</v>
      </c>
      <c r="E2" s="7">
        <v>9250</v>
      </c>
      <c r="F2" s="10">
        <v>10055</v>
      </c>
      <c r="G2" s="11">
        <v>10585</v>
      </c>
      <c r="H2" s="12">
        <f>SUM(G2-F2)/F2</f>
        <v>5.271009448035803E-2</v>
      </c>
      <c r="J2">
        <v>10585</v>
      </c>
      <c r="K2" s="52">
        <f>SUM(J2/G2)</f>
        <v>1</v>
      </c>
      <c r="L2">
        <v>10585</v>
      </c>
      <c r="M2" s="52">
        <f>SUM(L2/G2)</f>
        <v>1</v>
      </c>
      <c r="N2">
        <v>10585</v>
      </c>
      <c r="O2" s="52">
        <f>SUM(N2/G2)</f>
        <v>1</v>
      </c>
      <c r="P2">
        <v>10585</v>
      </c>
      <c r="Q2" s="52">
        <f>SUM(P2/G2)</f>
        <v>1</v>
      </c>
      <c r="S2" s="123">
        <f>(S28-T10)</f>
        <v>10898.77</v>
      </c>
      <c r="T2">
        <f>SUM((S2-G2)/G2)*100</f>
        <v>2.9642890883325501</v>
      </c>
      <c r="U2" s="119">
        <f>(S2/220.91)</f>
        <v>49.335792856819523</v>
      </c>
      <c r="W2" s="115" t="s">
        <v>17</v>
      </c>
      <c r="X2" s="116"/>
      <c r="Y2" s="117">
        <f>10585/Y1</f>
        <v>49.129728475284288</v>
      </c>
    </row>
    <row r="3" spans="1:25" ht="29.25">
      <c r="A3" s="6" t="s">
        <v>18</v>
      </c>
      <c r="B3" s="7">
        <v>250</v>
      </c>
      <c r="C3" s="8">
        <v>250</v>
      </c>
      <c r="D3" s="9">
        <v>1</v>
      </c>
      <c r="E3" s="7">
        <v>250</v>
      </c>
      <c r="F3" s="10">
        <v>250</v>
      </c>
      <c r="G3" s="11">
        <v>250</v>
      </c>
      <c r="H3" s="12">
        <f t="shared" ref="H3:H11" si="0">SUM(G3-F3)/F3</f>
        <v>0</v>
      </c>
      <c r="J3">
        <v>250</v>
      </c>
      <c r="K3" s="52">
        <f t="shared" ref="K3:K6" si="1">SUM(J3/G3)</f>
        <v>1</v>
      </c>
      <c r="L3">
        <v>250</v>
      </c>
      <c r="M3" s="52">
        <f t="shared" ref="M3:M6" si="2">SUM(L3/G3)</f>
        <v>1</v>
      </c>
      <c r="N3">
        <v>250</v>
      </c>
      <c r="O3" s="52">
        <f>SUM(N3/G3)</f>
        <v>1</v>
      </c>
      <c r="P3">
        <v>250</v>
      </c>
      <c r="Q3" s="52">
        <f t="shared" ref="Q3:Q6" si="3">SUM(P3/G3)</f>
        <v>1</v>
      </c>
      <c r="S3">
        <v>250</v>
      </c>
      <c r="U3" t="s">
        <v>19</v>
      </c>
      <c r="W3" s="120" t="s">
        <v>20</v>
      </c>
    </row>
    <row r="4" spans="1:25" ht="43.5">
      <c r="A4" s="6" t="s">
        <v>21</v>
      </c>
      <c r="B4" s="7">
        <v>600</v>
      </c>
      <c r="C4" s="8">
        <v>600</v>
      </c>
      <c r="D4" s="9">
        <v>1</v>
      </c>
      <c r="E4" s="7">
        <v>600</v>
      </c>
      <c r="F4" s="10">
        <v>600</v>
      </c>
      <c r="G4" s="11">
        <v>600</v>
      </c>
      <c r="H4" s="12">
        <f t="shared" si="0"/>
        <v>0</v>
      </c>
      <c r="J4">
        <v>600</v>
      </c>
      <c r="K4" s="52">
        <f t="shared" si="1"/>
        <v>1</v>
      </c>
      <c r="L4">
        <v>600</v>
      </c>
      <c r="M4" s="52">
        <f t="shared" si="2"/>
        <v>1</v>
      </c>
      <c r="N4">
        <v>600</v>
      </c>
      <c r="O4" s="52">
        <f>SUM(N4/G4)</f>
        <v>1</v>
      </c>
      <c r="P4">
        <v>600</v>
      </c>
      <c r="Q4" s="52">
        <f t="shared" si="3"/>
        <v>1</v>
      </c>
      <c r="S4">
        <v>600</v>
      </c>
      <c r="W4" s="121">
        <f>SUM((U2-Y2)/U2)</f>
        <v>4.1767724729440802E-3</v>
      </c>
    </row>
    <row r="5" spans="1:25" ht="15">
      <c r="A5" s="6" t="s">
        <v>22</v>
      </c>
      <c r="B5" s="7">
        <v>21</v>
      </c>
      <c r="C5" s="8">
        <v>0</v>
      </c>
      <c r="D5" s="9">
        <v>0</v>
      </c>
      <c r="E5" s="7">
        <v>10</v>
      </c>
      <c r="F5" s="10">
        <v>10</v>
      </c>
      <c r="G5" s="11">
        <v>10</v>
      </c>
      <c r="H5" s="12">
        <f t="shared" si="0"/>
        <v>0</v>
      </c>
      <c r="J5">
        <v>0</v>
      </c>
      <c r="K5" s="52">
        <f t="shared" si="1"/>
        <v>0</v>
      </c>
      <c r="L5">
        <v>0</v>
      </c>
      <c r="M5" s="52">
        <f t="shared" si="2"/>
        <v>0</v>
      </c>
      <c r="N5">
        <v>0</v>
      </c>
      <c r="O5" s="52">
        <f>SUM(N5/G5)</f>
        <v>0</v>
      </c>
      <c r="P5">
        <v>0</v>
      </c>
      <c r="Q5" s="52">
        <f t="shared" si="3"/>
        <v>0</v>
      </c>
      <c r="S5">
        <v>0</v>
      </c>
    </row>
    <row r="6" spans="1:25" ht="29.45" thickBot="1">
      <c r="A6" s="6" t="s">
        <v>23</v>
      </c>
      <c r="B6" s="7">
        <v>10</v>
      </c>
      <c r="C6" s="8">
        <v>10</v>
      </c>
      <c r="D6" s="9">
        <v>1</v>
      </c>
      <c r="E6" s="7">
        <v>10</v>
      </c>
      <c r="F6" s="10">
        <v>10</v>
      </c>
      <c r="G6" s="11">
        <v>10</v>
      </c>
      <c r="H6" s="12">
        <f t="shared" si="0"/>
        <v>0</v>
      </c>
      <c r="J6">
        <v>0</v>
      </c>
      <c r="K6" s="52">
        <f t="shared" si="1"/>
        <v>0</v>
      </c>
      <c r="L6">
        <v>0</v>
      </c>
      <c r="M6" s="52">
        <f t="shared" si="2"/>
        <v>0</v>
      </c>
      <c r="N6">
        <v>10.23</v>
      </c>
      <c r="O6" s="52">
        <f>SUM(N6/G6)</f>
        <v>1.0230000000000001</v>
      </c>
      <c r="P6">
        <v>10.23</v>
      </c>
      <c r="Q6" s="52">
        <f t="shared" si="3"/>
        <v>1.0230000000000001</v>
      </c>
      <c r="S6">
        <v>10.23</v>
      </c>
    </row>
    <row r="7" spans="1:25" ht="15" thickBot="1">
      <c r="A7" s="6" t="s">
        <v>24</v>
      </c>
      <c r="B7" s="13">
        <v>0</v>
      </c>
      <c r="C7" s="8">
        <v>26</v>
      </c>
      <c r="D7" s="14"/>
      <c r="E7" s="15"/>
      <c r="F7" s="10"/>
      <c r="G7" s="16"/>
      <c r="H7" s="12" t="e">
        <f t="shared" si="0"/>
        <v>#DIV/0!</v>
      </c>
      <c r="K7" s="52"/>
      <c r="L7" s="22"/>
      <c r="M7" s="52"/>
      <c r="O7" s="52"/>
      <c r="Q7" s="53"/>
    </row>
    <row r="8" spans="1:25" ht="29.45" thickBot="1">
      <c r="A8" s="17" t="s">
        <v>25</v>
      </c>
      <c r="B8" s="18" t="s">
        <v>26</v>
      </c>
      <c r="C8" s="8">
        <v>487</v>
      </c>
      <c r="D8" s="14"/>
      <c r="E8" s="15"/>
      <c r="F8" s="10"/>
      <c r="G8" s="16"/>
      <c r="H8" s="12" t="e">
        <f t="shared" si="0"/>
        <v>#DIV/0!</v>
      </c>
      <c r="K8" s="52"/>
      <c r="L8" s="22"/>
      <c r="M8" s="52"/>
      <c r="O8" s="52"/>
      <c r="Q8" s="53"/>
    </row>
    <row r="9" spans="1:25" ht="44.1" thickBot="1">
      <c r="A9" s="17" t="s">
        <v>27</v>
      </c>
      <c r="B9" s="18"/>
      <c r="C9" s="8"/>
      <c r="D9" s="14"/>
      <c r="E9" s="15"/>
      <c r="F9" s="10">
        <v>4700</v>
      </c>
      <c r="G9" s="19"/>
      <c r="H9" s="12">
        <f t="shared" si="0"/>
        <v>-1</v>
      </c>
      <c r="K9" s="52"/>
      <c r="L9" s="22"/>
      <c r="M9" s="52"/>
      <c r="O9" s="52"/>
      <c r="Q9" s="110" t="e">
        <f>SUM(P9/G9)</f>
        <v>#DIV/0!</v>
      </c>
      <c r="S9">
        <v>0</v>
      </c>
    </row>
    <row r="10" spans="1:25" ht="29.45" thickBot="1">
      <c r="A10" s="17" t="s">
        <v>28</v>
      </c>
      <c r="B10" s="18" t="s">
        <v>26</v>
      </c>
      <c r="C10" s="8">
        <v>500</v>
      </c>
      <c r="D10" s="14"/>
      <c r="E10" s="15"/>
      <c r="F10" s="10">
        <v>800</v>
      </c>
      <c r="G10" s="19">
        <v>800</v>
      </c>
      <c r="H10" s="12">
        <f t="shared" si="0"/>
        <v>0</v>
      </c>
      <c r="J10">
        <v>800</v>
      </c>
      <c r="K10" s="52">
        <f>SUM(J10/F10)</f>
        <v>1</v>
      </c>
      <c r="L10" s="22">
        <v>800</v>
      </c>
      <c r="M10" s="52">
        <f>SUM(L10/F10)</f>
        <v>1</v>
      </c>
      <c r="N10">
        <v>800</v>
      </c>
      <c r="O10" s="52">
        <f>SUM(N10/F10)</f>
        <v>1</v>
      </c>
      <c r="P10">
        <v>800</v>
      </c>
      <c r="Q10" s="54">
        <f>SUM(P10/G10)</f>
        <v>1</v>
      </c>
      <c r="S10">
        <v>800</v>
      </c>
      <c r="T10">
        <f>SUM(S3:S10)</f>
        <v>1660.23</v>
      </c>
      <c r="U10" t="s">
        <v>29</v>
      </c>
    </row>
    <row r="11" spans="1:25" ht="29.45" thickBot="1">
      <c r="A11" s="17" t="s">
        <v>30</v>
      </c>
      <c r="B11" s="20">
        <v>9986.77</v>
      </c>
      <c r="C11" s="8">
        <v>10979</v>
      </c>
      <c r="D11" s="21">
        <v>1.0993999999999999</v>
      </c>
      <c r="E11" s="7">
        <v>10120</v>
      </c>
      <c r="F11" s="22">
        <f>SUM(F2:F10)</f>
        <v>16425</v>
      </c>
      <c r="G11" s="11">
        <f>SUM(G2:G10)</f>
        <v>12255</v>
      </c>
      <c r="H11" s="12">
        <f t="shared" si="0"/>
        <v>-0.25388127853881276</v>
      </c>
      <c r="J11">
        <f>SUM(J2:J10)</f>
        <v>12235</v>
      </c>
      <c r="K11" s="52">
        <f>SUM(J11/G11)</f>
        <v>0.99836801305589551</v>
      </c>
      <c r="L11" s="22">
        <f>SUM(L2:L10)</f>
        <v>12235</v>
      </c>
      <c r="M11" s="52">
        <f>SUM(L11/G11)</f>
        <v>0.99836801305589551</v>
      </c>
      <c r="N11">
        <f>SUM(N2:N10)</f>
        <v>12245.23</v>
      </c>
      <c r="O11" s="52">
        <f>SUM(N11/G11)</f>
        <v>0.99920277437780491</v>
      </c>
      <c r="P11">
        <f>SUM(P2:P10)</f>
        <v>12245.23</v>
      </c>
      <c r="Q11" s="54">
        <f>SUM(P11/G11)</f>
        <v>0.99920277437780491</v>
      </c>
      <c r="S11">
        <f>SUM(S2:S10)</f>
        <v>12559</v>
      </c>
    </row>
    <row r="12" spans="1:25" ht="15" thickBot="1">
      <c r="A12" s="17"/>
      <c r="B12" s="18"/>
      <c r="C12" s="14"/>
      <c r="D12" s="14"/>
      <c r="E12" s="15"/>
      <c r="F12" s="15"/>
      <c r="G12" s="14"/>
      <c r="H12" s="14"/>
      <c r="K12" s="52"/>
      <c r="L12" s="22"/>
      <c r="M12" s="52"/>
      <c r="O12" s="52"/>
      <c r="Q12" s="52"/>
    </row>
    <row r="13" spans="1:25" ht="58.5" thickBot="1">
      <c r="A13" s="23" t="s">
        <v>31</v>
      </c>
      <c r="B13" s="24" t="s">
        <v>32</v>
      </c>
      <c r="C13" s="25" t="s">
        <v>33</v>
      </c>
      <c r="D13" s="25" t="s">
        <v>34</v>
      </c>
      <c r="E13" s="25" t="s">
        <v>35</v>
      </c>
      <c r="F13" s="25" t="s">
        <v>4</v>
      </c>
      <c r="G13" s="25" t="s">
        <v>36</v>
      </c>
      <c r="H13" s="25" t="s">
        <v>7</v>
      </c>
      <c r="J13" s="49" t="s">
        <v>8</v>
      </c>
      <c r="K13" s="50" t="s">
        <v>37</v>
      </c>
      <c r="L13" s="51" t="s">
        <v>10</v>
      </c>
      <c r="M13" s="50" t="s">
        <v>37</v>
      </c>
      <c r="N13" s="49" t="s">
        <v>11</v>
      </c>
      <c r="O13" s="50" t="s">
        <v>37</v>
      </c>
      <c r="P13" s="49" t="s">
        <v>12</v>
      </c>
      <c r="Q13" s="50" t="s">
        <v>37</v>
      </c>
      <c r="T13" t="s">
        <v>38</v>
      </c>
    </row>
    <row r="14" spans="1:25" ht="29.45" thickBot="1">
      <c r="A14" s="6" t="s">
        <v>39</v>
      </c>
      <c r="B14" s="7">
        <v>4169</v>
      </c>
      <c r="C14" s="8">
        <v>1577</v>
      </c>
      <c r="D14" s="9">
        <v>0.37830000000000003</v>
      </c>
      <c r="E14" s="7">
        <v>4500</v>
      </c>
      <c r="F14" s="10">
        <v>3000</v>
      </c>
      <c r="G14" s="11">
        <v>3000</v>
      </c>
      <c r="H14" s="26">
        <f>SUM(G14-F14)/F14</f>
        <v>0</v>
      </c>
      <c r="J14">
        <v>342</v>
      </c>
      <c r="K14" s="52">
        <f>SUM(J14/G14)</f>
        <v>0.114</v>
      </c>
      <c r="L14" s="22">
        <f>SUM(J14+541.5+237.5)</f>
        <v>1121</v>
      </c>
      <c r="M14" s="52">
        <f>SUM(L14/G14)</f>
        <v>0.37366666666666665</v>
      </c>
      <c r="N14" s="22">
        <f>(L14+361+380+79.98+228+130+228)</f>
        <v>2527.98</v>
      </c>
      <c r="O14" s="52">
        <f>SUM(N14/G14)</f>
        <v>0.84265999999999996</v>
      </c>
      <c r="P14" s="22">
        <v>3145.48</v>
      </c>
      <c r="Q14" s="52">
        <f>SUM(P14/G14)</f>
        <v>1.0484933333333333</v>
      </c>
      <c r="S14">
        <v>5000</v>
      </c>
    </row>
    <row r="15" spans="1:25" ht="15" thickBot="1">
      <c r="A15" s="6" t="s">
        <v>40</v>
      </c>
      <c r="B15" s="7">
        <v>1440</v>
      </c>
      <c r="C15" s="8">
        <v>1276</v>
      </c>
      <c r="D15" s="9">
        <v>0.8861</v>
      </c>
      <c r="E15" s="7">
        <v>1500</v>
      </c>
      <c r="F15" s="10">
        <v>2500</v>
      </c>
      <c r="G15" s="11">
        <v>3000</v>
      </c>
      <c r="H15" s="26">
        <f t="shared" ref="H15:H28" si="4">SUM(G15-F15)/F15</f>
        <v>0.2</v>
      </c>
      <c r="J15">
        <v>849.38</v>
      </c>
      <c r="K15" s="52">
        <f>SUM(J15/G15)</f>
        <v>0.28312666666666664</v>
      </c>
      <c r="L15" s="22">
        <f>SUM(J15+1223.04)</f>
        <v>2072.42</v>
      </c>
      <c r="M15" s="52">
        <f>SUM(L15/G15)</f>
        <v>0.69080666666666668</v>
      </c>
      <c r="N15" s="22">
        <f>SUM(L15+1223.04)</f>
        <v>3295.46</v>
      </c>
      <c r="O15" s="52">
        <f>SUM(N15/G15)</f>
        <v>1.0984866666666666</v>
      </c>
      <c r="P15" s="22">
        <f>SUM(N15+1223.04)</f>
        <v>4518.5</v>
      </c>
      <c r="Q15" s="52">
        <f>SUM(P15/G15)</f>
        <v>1.5061666666666667</v>
      </c>
      <c r="S15">
        <v>5039</v>
      </c>
      <c r="T15" t="s">
        <v>41</v>
      </c>
    </row>
    <row r="16" spans="1:25" ht="29.45" thickBot="1">
      <c r="A16" s="6" t="s">
        <v>42</v>
      </c>
      <c r="B16" s="27"/>
      <c r="C16" s="14"/>
      <c r="D16" s="14"/>
      <c r="E16" s="7">
        <v>300</v>
      </c>
      <c r="F16" s="10">
        <v>0</v>
      </c>
      <c r="G16" s="16">
        <v>200</v>
      </c>
      <c r="H16" s="26" t="e">
        <f t="shared" si="4"/>
        <v>#DIV/0!</v>
      </c>
      <c r="J16">
        <v>0</v>
      </c>
      <c r="K16" s="52"/>
      <c r="L16" s="22">
        <v>0</v>
      </c>
      <c r="M16" s="52"/>
      <c r="N16">
        <v>0</v>
      </c>
      <c r="O16" s="52"/>
      <c r="Q16" s="52"/>
    </row>
    <row r="17" spans="1:20" ht="29.45" thickBot="1">
      <c r="A17" s="6" t="s">
        <v>43</v>
      </c>
      <c r="B17" s="7">
        <v>250</v>
      </c>
      <c r="C17" s="8">
        <v>40</v>
      </c>
      <c r="D17" s="9">
        <v>0.16</v>
      </c>
      <c r="E17" s="7">
        <v>250</v>
      </c>
      <c r="F17" s="10">
        <v>250</v>
      </c>
      <c r="G17" s="11">
        <v>250</v>
      </c>
      <c r="H17" s="26">
        <f t="shared" si="4"/>
        <v>0</v>
      </c>
      <c r="J17">
        <v>0</v>
      </c>
      <c r="K17" s="52">
        <f t="shared" ref="K17:K26" si="5">SUM(J17/F17)</f>
        <v>0</v>
      </c>
      <c r="L17" s="22">
        <v>0</v>
      </c>
      <c r="M17" s="52">
        <f t="shared" ref="M17:M26" si="6">SUM(L17/F17)</f>
        <v>0</v>
      </c>
      <c r="N17">
        <v>0</v>
      </c>
      <c r="O17" s="52">
        <f t="shared" ref="O17:O26" si="7">SUM(N17/F17)</f>
        <v>0</v>
      </c>
      <c r="P17">
        <v>0</v>
      </c>
      <c r="Q17" s="52">
        <f t="shared" ref="Q17:Q26" si="8">SUM(P17/F17)</f>
        <v>0</v>
      </c>
    </row>
    <row r="18" spans="1:20" ht="29.45" thickBot="1">
      <c r="A18" s="6" t="s">
        <v>44</v>
      </c>
      <c r="B18" s="7">
        <v>650</v>
      </c>
      <c r="C18" s="8">
        <v>570</v>
      </c>
      <c r="D18" s="9">
        <v>0.87690000000000001</v>
      </c>
      <c r="E18" s="7">
        <v>650</v>
      </c>
      <c r="F18" s="10">
        <v>650</v>
      </c>
      <c r="G18" s="11">
        <v>700</v>
      </c>
      <c r="H18" s="26">
        <f t="shared" si="4"/>
        <v>7.6923076923076927E-2</v>
      </c>
      <c r="J18">
        <v>721.45</v>
      </c>
      <c r="K18" s="52">
        <f>SUM(J18/G18)</f>
        <v>1.0306428571428572</v>
      </c>
      <c r="L18" s="22">
        <v>721.45</v>
      </c>
      <c r="M18" s="52">
        <f>SUM(L18/G18)</f>
        <v>1.0306428571428572</v>
      </c>
      <c r="N18">
        <v>721.45</v>
      </c>
      <c r="O18" s="52">
        <f>SUM(N18/G18)</f>
        <v>1.0306428571428572</v>
      </c>
      <c r="P18">
        <v>721.45</v>
      </c>
      <c r="Q18" s="52">
        <f>SUM(P18/G18)</f>
        <v>1.0306428571428572</v>
      </c>
      <c r="S18">
        <v>1000</v>
      </c>
      <c r="T18" t="s">
        <v>45</v>
      </c>
    </row>
    <row r="19" spans="1:20" ht="43.5">
      <c r="A19" s="6" t="s">
        <v>46</v>
      </c>
      <c r="B19" s="7">
        <v>40</v>
      </c>
      <c r="C19" s="8">
        <v>179</v>
      </c>
      <c r="D19" s="9">
        <v>4.4749999999999996</v>
      </c>
      <c r="E19" s="7">
        <v>250</v>
      </c>
      <c r="F19" s="10">
        <v>200</v>
      </c>
      <c r="G19" s="11">
        <v>200</v>
      </c>
      <c r="H19" s="26">
        <f t="shared" si="4"/>
        <v>0</v>
      </c>
      <c r="J19">
        <v>0</v>
      </c>
      <c r="K19" s="52">
        <f>SUM(J19/G19)</f>
        <v>0</v>
      </c>
      <c r="L19" s="22">
        <v>0</v>
      </c>
      <c r="M19" s="52">
        <f>SUM(L19/G19)</f>
        <v>0</v>
      </c>
      <c r="N19">
        <f>180+40</f>
        <v>220</v>
      </c>
      <c r="O19" s="52">
        <f>SUM(N19/G19)</f>
        <v>1.1000000000000001</v>
      </c>
      <c r="P19">
        <v>220</v>
      </c>
      <c r="Q19" s="52">
        <f>SUM(P19/G19)</f>
        <v>1.1000000000000001</v>
      </c>
      <c r="S19">
        <v>45</v>
      </c>
      <c r="T19" s="111" t="s">
        <v>47</v>
      </c>
    </row>
    <row r="20" spans="1:20" ht="15" thickBot="1">
      <c r="A20" s="6" t="s">
        <v>48</v>
      </c>
      <c r="B20" s="7">
        <v>200</v>
      </c>
      <c r="C20" s="8">
        <v>237</v>
      </c>
      <c r="D20" s="9">
        <v>1.1850000000000001</v>
      </c>
      <c r="E20" s="7">
        <v>500</v>
      </c>
      <c r="F20" s="10">
        <v>200</v>
      </c>
      <c r="G20" s="11">
        <v>200</v>
      </c>
      <c r="H20" s="26">
        <f t="shared" si="4"/>
        <v>0</v>
      </c>
      <c r="J20">
        <v>100</v>
      </c>
      <c r="K20" s="52">
        <f>SUM(J20/G20)</f>
        <v>0.5</v>
      </c>
      <c r="L20" s="22">
        <v>100</v>
      </c>
      <c r="M20" s="52">
        <f>SUM(L20/G20)</f>
        <v>0.5</v>
      </c>
      <c r="N20">
        <v>100</v>
      </c>
      <c r="O20" s="52">
        <f>SUM(N20/G20)</f>
        <v>0.5</v>
      </c>
      <c r="Q20" s="52">
        <f>SUM(P20/G20)</f>
        <v>0</v>
      </c>
      <c r="S20">
        <v>100</v>
      </c>
      <c r="T20" t="s">
        <v>49</v>
      </c>
    </row>
    <row r="21" spans="1:20" ht="87">
      <c r="A21" s="6" t="s">
        <v>50</v>
      </c>
      <c r="B21" s="7">
        <v>170</v>
      </c>
      <c r="C21" s="8">
        <v>0</v>
      </c>
      <c r="D21" s="9">
        <v>0</v>
      </c>
      <c r="E21" s="7">
        <v>170</v>
      </c>
      <c r="F21" s="10">
        <v>100</v>
      </c>
      <c r="G21" s="11">
        <v>100</v>
      </c>
      <c r="H21" s="26">
        <f t="shared" si="4"/>
        <v>0</v>
      </c>
      <c r="J21">
        <v>22.99</v>
      </c>
      <c r="K21" s="52">
        <f>SUM(J21/G21)</f>
        <v>0.22989999999999999</v>
      </c>
      <c r="L21" s="22">
        <f>22.99+507.47+312</f>
        <v>842.46</v>
      </c>
      <c r="M21" s="52">
        <f>SUM(L21/G21)</f>
        <v>8.4245999999999999</v>
      </c>
      <c r="N21" s="22">
        <f>L21+18.99</f>
        <v>861.45</v>
      </c>
      <c r="O21" s="52">
        <f>SUM(N21/G21)</f>
        <v>8.6144999999999996</v>
      </c>
      <c r="P21">
        <v>861.45</v>
      </c>
      <c r="Q21" s="52">
        <f>SUM(P21/G21)</f>
        <v>8.6144999999999996</v>
      </c>
      <c r="S21">
        <v>450</v>
      </c>
      <c r="T21" s="111" t="s">
        <v>51</v>
      </c>
    </row>
    <row r="22" spans="1:20" ht="101.25">
      <c r="A22" s="6" t="s">
        <v>52</v>
      </c>
      <c r="B22" s="7">
        <v>1000</v>
      </c>
      <c r="C22" s="14"/>
      <c r="D22" s="9">
        <v>0</v>
      </c>
      <c r="E22" s="7">
        <v>5500</v>
      </c>
      <c r="F22" s="10">
        <v>1000</v>
      </c>
      <c r="G22" s="11">
        <v>1000</v>
      </c>
      <c r="H22" s="26">
        <f t="shared" si="4"/>
        <v>0</v>
      </c>
      <c r="J22">
        <v>0</v>
      </c>
      <c r="K22" s="52">
        <f>SUM(J22/G22)</f>
        <v>0</v>
      </c>
      <c r="L22" s="22">
        <v>0</v>
      </c>
      <c r="M22" s="52">
        <f>SUM(L22/G22)</f>
        <v>0</v>
      </c>
      <c r="N22">
        <v>0</v>
      </c>
      <c r="O22" s="52">
        <f>SUM(N22/G22)</f>
        <v>0</v>
      </c>
      <c r="P22">
        <v>0</v>
      </c>
      <c r="Q22" s="52">
        <f>SUM(P22/G22)</f>
        <v>0</v>
      </c>
      <c r="S22">
        <v>400</v>
      </c>
      <c r="T22" s="111"/>
    </row>
    <row r="23" spans="1:20" ht="57.75">
      <c r="A23" s="6" t="s">
        <v>53</v>
      </c>
      <c r="B23" s="7">
        <v>200</v>
      </c>
      <c r="C23" s="14"/>
      <c r="D23" s="9">
        <v>0</v>
      </c>
      <c r="E23" s="7">
        <v>200</v>
      </c>
      <c r="F23" s="10">
        <v>1750</v>
      </c>
      <c r="G23" s="11">
        <v>1750</v>
      </c>
      <c r="H23" s="26">
        <f t="shared" si="4"/>
        <v>0</v>
      </c>
      <c r="J23">
        <v>0</v>
      </c>
      <c r="K23" s="52">
        <f>SUM(J23/G23)</f>
        <v>0</v>
      </c>
      <c r="L23" s="22">
        <v>0</v>
      </c>
      <c r="M23" s="52">
        <f>SUM(L23/G23)</f>
        <v>0</v>
      </c>
      <c r="N23">
        <v>0</v>
      </c>
      <c r="O23" s="52">
        <f>SUM(N23/G23)</f>
        <v>0</v>
      </c>
      <c r="P23">
        <v>0</v>
      </c>
      <c r="Q23" s="52">
        <f>SUM(P23/G23)</f>
        <v>0</v>
      </c>
      <c r="T23" s="111"/>
    </row>
    <row r="24" spans="1:20" ht="43.5">
      <c r="A24" s="6" t="s">
        <v>54</v>
      </c>
      <c r="B24" s="7">
        <v>250</v>
      </c>
      <c r="C24" s="14"/>
      <c r="D24" s="9">
        <v>0</v>
      </c>
      <c r="E24" s="7">
        <v>300</v>
      </c>
      <c r="F24" s="10">
        <v>250</v>
      </c>
      <c r="G24" s="11">
        <v>300</v>
      </c>
      <c r="H24" s="26">
        <f t="shared" si="4"/>
        <v>0.2</v>
      </c>
      <c r="J24">
        <v>420</v>
      </c>
      <c r="K24" s="52">
        <f>SUM(J24/G24)</f>
        <v>1.4</v>
      </c>
      <c r="L24" s="22">
        <v>420</v>
      </c>
      <c r="M24" s="52">
        <f>SUM(L24/G24)</f>
        <v>1.4</v>
      </c>
      <c r="N24">
        <v>420</v>
      </c>
      <c r="O24" s="52">
        <f>SUM(N24/G24)</f>
        <v>1.4</v>
      </c>
      <c r="P24">
        <v>420</v>
      </c>
      <c r="Q24" s="52">
        <f>SUM(P24/G24)</f>
        <v>1.4</v>
      </c>
      <c r="T24" s="111" t="s">
        <v>55</v>
      </c>
    </row>
    <row r="25" spans="1:20" ht="72.75">
      <c r="A25" s="6" t="s">
        <v>56</v>
      </c>
      <c r="B25" s="7">
        <v>3000</v>
      </c>
      <c r="C25" s="8">
        <v>259</v>
      </c>
      <c r="D25" s="9">
        <v>8.6300000000000002E-2</v>
      </c>
      <c r="E25" s="7">
        <v>1000</v>
      </c>
      <c r="F25" s="10">
        <v>1000</v>
      </c>
      <c r="G25" s="11">
        <v>1530</v>
      </c>
      <c r="H25" s="26">
        <f t="shared" si="4"/>
        <v>0.53</v>
      </c>
      <c r="J25">
        <v>0</v>
      </c>
      <c r="K25" s="52">
        <f>SUM(J25/G25)</f>
        <v>0</v>
      </c>
      <c r="L25" s="22">
        <f>221.39+72</f>
        <v>293.39</v>
      </c>
      <c r="M25" s="52">
        <f>SUM(L25/G25)</f>
        <v>0.19175816993464051</v>
      </c>
      <c r="N25" s="22">
        <f>293.39+1530</f>
        <v>1823.3899999999999</v>
      </c>
      <c r="O25" s="52">
        <f>SUM(N25/G25)</f>
        <v>1.1917581699346405</v>
      </c>
      <c r="P25" s="22">
        <f>N25</f>
        <v>1823.3899999999999</v>
      </c>
      <c r="Q25" s="52">
        <f>SUM(P25/G25)</f>
        <v>1.1917581699346405</v>
      </c>
      <c r="S25">
        <v>500</v>
      </c>
      <c r="T25" s="111" t="s">
        <v>57</v>
      </c>
    </row>
    <row r="26" spans="1:20" ht="29.45" thickBot="1">
      <c r="A26" s="6" t="s">
        <v>58</v>
      </c>
      <c r="B26" s="27"/>
      <c r="C26" s="14"/>
      <c r="D26" s="14"/>
      <c r="E26" s="15"/>
      <c r="F26" s="10">
        <v>25</v>
      </c>
      <c r="G26" s="16">
        <v>25</v>
      </c>
      <c r="H26" s="26">
        <f t="shared" si="4"/>
        <v>0</v>
      </c>
      <c r="J26">
        <v>0</v>
      </c>
      <c r="K26" s="52">
        <f>SUM(J26/G26)</f>
        <v>0</v>
      </c>
      <c r="L26" s="22">
        <v>25</v>
      </c>
      <c r="M26" s="109">
        <f>SUM(L26/G26)</f>
        <v>1</v>
      </c>
      <c r="N26">
        <v>25</v>
      </c>
      <c r="O26" s="52">
        <f>SUM(N26/G26)</f>
        <v>1</v>
      </c>
      <c r="P26">
        <v>25</v>
      </c>
      <c r="Q26" s="52">
        <f>SUM(P26/G26)</f>
        <v>1</v>
      </c>
      <c r="S26">
        <v>25</v>
      </c>
    </row>
    <row r="27" spans="1:20" ht="15">
      <c r="A27" s="28" t="s">
        <v>59</v>
      </c>
      <c r="B27" s="15"/>
      <c r="C27" s="14"/>
      <c r="D27" s="14"/>
      <c r="E27" s="15"/>
      <c r="F27" s="15"/>
      <c r="G27" s="16"/>
      <c r="H27" s="26" t="e">
        <f t="shared" si="4"/>
        <v>#DIV/0!</v>
      </c>
      <c r="K27" s="52"/>
      <c r="L27" s="22"/>
      <c r="M27" s="52"/>
      <c r="O27" s="52"/>
      <c r="Q27" s="52"/>
      <c r="T27" s="111"/>
    </row>
    <row r="28" spans="1:20" ht="44.1" thickBot="1">
      <c r="A28" s="17" t="s">
        <v>60</v>
      </c>
      <c r="B28" s="20">
        <v>11369</v>
      </c>
      <c r="C28" s="8">
        <v>4138</v>
      </c>
      <c r="D28" s="9">
        <v>0.36399999999999999</v>
      </c>
      <c r="E28" s="7">
        <v>15120</v>
      </c>
      <c r="F28" s="7">
        <f>SUM(F14:F26)</f>
        <v>10925</v>
      </c>
      <c r="G28" s="11">
        <f>SUM(G14:G26)</f>
        <v>12255</v>
      </c>
      <c r="H28" s="26">
        <f t="shared" si="4"/>
        <v>0.12173913043478261</v>
      </c>
      <c r="J28">
        <f>SUM(J14:J27)</f>
        <v>2455.8200000000002</v>
      </c>
      <c r="K28" s="52">
        <f>SUM(J28/G28)</f>
        <v>0.20039330885352918</v>
      </c>
      <c r="L28" s="22">
        <f>SUM(L14:L27)</f>
        <v>5595.72</v>
      </c>
      <c r="M28" s="52">
        <f>SUM(L28/G28)</f>
        <v>0.45660709914320685</v>
      </c>
      <c r="N28" s="22">
        <f>SUM(N14:N27)</f>
        <v>9994.73</v>
      </c>
      <c r="O28" s="52">
        <f>SUM(N28/G28)</f>
        <v>0.81556344349245202</v>
      </c>
      <c r="P28" s="22">
        <f>SUM(P14:P27)</f>
        <v>11735.27</v>
      </c>
      <c r="Q28" s="52">
        <f>SUM(P28/G28)</f>
        <v>0.95759037127702984</v>
      </c>
      <c r="S28">
        <f>SUM(S13:S27)</f>
        <v>12559</v>
      </c>
    </row>
  </sheetData>
  <conditionalFormatting sqref="K2:K11">
    <cfRule type="colorScale" priority="8">
      <colorScale>
        <cfvo type="min"/>
        <cfvo type="max"/>
        <color rgb="FFFFEF9C"/>
        <color rgb="FF63BE7B"/>
      </colorScale>
    </cfRule>
  </conditionalFormatting>
  <conditionalFormatting sqref="K14:K28">
    <cfRule type="colorScale" priority="9">
      <colorScale>
        <cfvo type="min"/>
        <cfvo type="max"/>
        <color rgb="FF63BE7B"/>
        <color rgb="FFFFEF9C"/>
      </colorScale>
    </cfRule>
  </conditionalFormatting>
  <conditionalFormatting sqref="M1:M28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2:M11">
    <cfRule type="colorScale" priority="10">
      <colorScale>
        <cfvo type="min"/>
        <cfvo type="max"/>
        <color rgb="FFFFEF9C"/>
        <color rgb="FF63BE7B"/>
      </colorScale>
    </cfRule>
  </conditionalFormatting>
  <conditionalFormatting sqref="M14:M25">
    <cfRule type="colorScale" priority="11">
      <colorScale>
        <cfvo type="min"/>
        <cfvo type="max"/>
        <color rgb="FF63BE7B"/>
        <color rgb="FFFFEF9C"/>
      </colorScale>
    </cfRule>
  </conditionalFormatting>
  <conditionalFormatting sqref="M14:M28">
    <cfRule type="colorScale" priority="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2:O11">
    <cfRule type="colorScale" priority="7">
      <colorScale>
        <cfvo type="min"/>
        <cfvo type="max"/>
        <color rgb="FFFFEF9C"/>
        <color rgb="FF63BE7B"/>
      </colorScale>
    </cfRule>
  </conditionalFormatting>
  <conditionalFormatting sqref="O14:O28">
    <cfRule type="colorScale" priority="5">
      <colorScale>
        <cfvo type="min"/>
        <cfvo type="max"/>
        <color rgb="FF63BE7B"/>
        <color rgb="FFFCFCFF"/>
      </colorScale>
    </cfRule>
  </conditionalFormatting>
  <conditionalFormatting sqref="Q2:Q8">
    <cfRule type="colorScale" priority="6">
      <colorScale>
        <cfvo type="min"/>
        <cfvo type="max"/>
        <color rgb="FFFCFCFF"/>
        <color rgb="FF63BE7B"/>
      </colorScale>
    </cfRule>
  </conditionalFormatting>
  <conditionalFormatting sqref="Q14:Q28">
    <cfRule type="colorScale" priority="4">
      <colorScale>
        <cfvo type="min"/>
        <cfvo type="max"/>
        <color rgb="FF63BE7B"/>
        <color rgb="FFFCFCFF"/>
      </colorScale>
    </cfRule>
  </conditionalFormatting>
  <conditionalFormatting sqref="M26">
    <cfRule type="colorScale" priority="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O26">
    <cfRule type="colorScale" priority="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Q26">
    <cfRule type="colorScale" priority="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ED8156-F0C4-4E82-A718-D3EB43C0C357}">
  <dimension ref="A1:N23"/>
  <sheetViews>
    <sheetView workbookViewId="0">
      <selection activeCell="D19" sqref="D19"/>
    </sheetView>
  </sheetViews>
  <sheetFormatPr defaultRowHeight="14.45"/>
  <cols>
    <col min="1" max="1" width="34.5703125" bestFit="1" customWidth="1"/>
    <col min="2" max="2" width="14.5703125" customWidth="1"/>
    <col min="3" max="3" width="15.42578125" customWidth="1"/>
    <col min="4" max="4" width="30.42578125" bestFit="1" customWidth="1"/>
    <col min="7" max="7" width="36" bestFit="1" customWidth="1"/>
    <col min="14" max="14" width="11.28515625" bestFit="1" customWidth="1"/>
  </cols>
  <sheetData>
    <row r="1" spans="1:14">
      <c r="A1" t="s">
        <v>61</v>
      </c>
      <c r="B1" s="22"/>
      <c r="K1" t="s">
        <v>62</v>
      </c>
    </row>
    <row r="2" spans="1:14">
      <c r="B2" s="22"/>
      <c r="K2" t="s">
        <v>63</v>
      </c>
      <c r="M2" t="s">
        <v>64</v>
      </c>
    </row>
    <row r="3" spans="1:14">
      <c r="A3" t="s">
        <v>65</v>
      </c>
      <c r="B3" s="48">
        <v>27292.74</v>
      </c>
      <c r="C3" s="48"/>
      <c r="K3">
        <v>600</v>
      </c>
      <c r="L3" t="s">
        <v>66</v>
      </c>
      <c r="M3">
        <v>5</v>
      </c>
      <c r="N3" t="s">
        <v>67</v>
      </c>
    </row>
    <row r="4" spans="1:14">
      <c r="B4" s="22"/>
      <c r="H4" t="s">
        <v>68</v>
      </c>
      <c r="I4" t="s">
        <v>69</v>
      </c>
      <c r="K4">
        <v>15000</v>
      </c>
      <c r="L4" t="s">
        <v>70</v>
      </c>
    </row>
    <row r="5" spans="1:14" ht="15" thickBot="1">
      <c r="A5" t="s">
        <v>71</v>
      </c>
      <c r="B5" s="47">
        <v>12881.38</v>
      </c>
      <c r="C5" s="48"/>
      <c r="G5" t="s">
        <v>72</v>
      </c>
    </row>
    <row r="6" spans="1:14">
      <c r="B6" s="22"/>
      <c r="G6" t="s">
        <v>73</v>
      </c>
    </row>
    <row r="7" spans="1:14" ht="43.5">
      <c r="A7" t="s">
        <v>74</v>
      </c>
      <c r="B7" s="22">
        <f>12318.41+323</f>
        <v>12641.41</v>
      </c>
      <c r="C7" s="126" t="s">
        <v>75</v>
      </c>
      <c r="G7" t="s">
        <v>76</v>
      </c>
    </row>
    <row r="8" spans="1:14">
      <c r="B8" s="22"/>
      <c r="G8" t="s">
        <v>77</v>
      </c>
    </row>
    <row r="9" spans="1:14">
      <c r="A9" t="s">
        <v>78</v>
      </c>
      <c r="B9" s="22">
        <f>SUM(B3+B5-B7)</f>
        <v>27532.710000000003</v>
      </c>
      <c r="C9" s="48"/>
      <c r="G9" t="s">
        <v>79</v>
      </c>
    </row>
    <row r="10" spans="1:14">
      <c r="A10" t="s">
        <v>80</v>
      </c>
      <c r="B10" s="22"/>
      <c r="G10" t="s">
        <v>81</v>
      </c>
    </row>
    <row r="11" spans="1:14">
      <c r="B11" s="22"/>
      <c r="G11" t="s">
        <v>82</v>
      </c>
    </row>
    <row r="12" spans="1:14">
      <c r="B12" s="22"/>
      <c r="G12" t="s">
        <v>83</v>
      </c>
    </row>
    <row r="13" spans="1:14">
      <c r="B13" s="22"/>
      <c r="G13" t="s">
        <v>84</v>
      </c>
    </row>
    <row r="14" spans="1:14">
      <c r="A14" t="s">
        <v>85</v>
      </c>
      <c r="B14" s="22">
        <f>SUM(B9-B10-B11)</f>
        <v>27532.710000000003</v>
      </c>
      <c r="C14" s="35">
        <v>45543</v>
      </c>
      <c r="G14" t="s">
        <v>86</v>
      </c>
    </row>
    <row r="15" spans="1:14">
      <c r="B15" s="22"/>
      <c r="C15" s="48"/>
      <c r="G15" t="s">
        <v>87</v>
      </c>
    </row>
    <row r="16" spans="1:14">
      <c r="A16" t="s">
        <v>88</v>
      </c>
      <c r="B16" s="48">
        <f>F22+F23</f>
        <v>27532.73</v>
      </c>
      <c r="C16" s="48"/>
      <c r="G16" t="s">
        <v>89</v>
      </c>
    </row>
    <row r="17" spans="2:7">
      <c r="B17" s="22"/>
      <c r="C17" s="48"/>
    </row>
    <row r="18" spans="2:7">
      <c r="B18" s="22" t="s">
        <v>90</v>
      </c>
      <c r="C18" s="22">
        <f>SUM(B16-B14)</f>
        <v>1.9999999996798579E-2</v>
      </c>
      <c r="D18" t="s">
        <v>91</v>
      </c>
    </row>
    <row r="19" spans="2:7">
      <c r="B19" s="22"/>
      <c r="C19" s="48"/>
    </row>
    <row r="20" spans="2:7">
      <c r="B20" s="22"/>
    </row>
    <row r="21" spans="2:7">
      <c r="B21" s="22"/>
    </row>
    <row r="22" spans="2:7">
      <c r="F22">
        <v>6317.04</v>
      </c>
      <c r="G22" t="s">
        <v>92</v>
      </c>
    </row>
    <row r="23" spans="2:7">
      <c r="F23">
        <v>21215.69</v>
      </c>
      <c r="G23" t="s">
        <v>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8159C2-2743-4357-A649-56C17D700DB0}">
  <dimension ref="A1:L10"/>
  <sheetViews>
    <sheetView workbookViewId="0">
      <selection activeCell="L10" sqref="L10"/>
    </sheetView>
  </sheetViews>
  <sheetFormatPr defaultRowHeight="14.45"/>
  <cols>
    <col min="4" max="4" width="12" customWidth="1"/>
    <col min="5" max="5" width="12.5703125" customWidth="1"/>
    <col min="11" max="11" width="12.7109375" customWidth="1"/>
    <col min="12" max="12" width="11.28515625" bestFit="1" customWidth="1"/>
  </cols>
  <sheetData>
    <row r="1" spans="1:12" ht="29.1">
      <c r="C1" s="29" t="s">
        <v>94</v>
      </c>
      <c r="D1" s="30" t="s">
        <v>95</v>
      </c>
      <c r="E1" s="31"/>
      <c r="F1" s="31"/>
      <c r="G1" s="31"/>
      <c r="H1" s="31"/>
      <c r="I1" s="31"/>
      <c r="J1" s="31"/>
      <c r="K1" s="32" t="s">
        <v>96</v>
      </c>
    </row>
    <row r="2" spans="1:12">
      <c r="B2" t="s">
        <v>97</v>
      </c>
      <c r="C2" s="29" t="s">
        <v>98</v>
      </c>
      <c r="D2" s="33">
        <v>10585</v>
      </c>
      <c r="E2" s="31">
        <v>10585</v>
      </c>
      <c r="F2" s="31"/>
      <c r="G2" s="31"/>
      <c r="H2" s="31"/>
      <c r="I2" s="31"/>
      <c r="J2" s="31"/>
      <c r="K2" s="34">
        <f>SUM(E2:J2)</f>
        <v>10585</v>
      </c>
    </row>
    <row r="3" spans="1:12" ht="29.25">
      <c r="A3" s="35"/>
      <c r="B3" t="s">
        <v>99</v>
      </c>
      <c r="C3" s="29" t="s">
        <v>100</v>
      </c>
      <c r="D3" s="36">
        <v>250</v>
      </c>
      <c r="E3" s="31"/>
      <c r="F3" s="31"/>
      <c r="G3" s="31"/>
      <c r="H3" s="31">
        <v>250</v>
      </c>
      <c r="I3" s="31"/>
      <c r="J3" s="31"/>
      <c r="K3" s="37"/>
      <c r="L3" t="s">
        <v>101</v>
      </c>
    </row>
    <row r="4" spans="1:12" ht="29.25">
      <c r="A4" s="35"/>
      <c r="B4" t="s">
        <v>102</v>
      </c>
      <c r="C4" s="29" t="s">
        <v>103</v>
      </c>
      <c r="D4" s="33">
        <v>10.23</v>
      </c>
      <c r="E4" s="31"/>
      <c r="F4" s="31"/>
      <c r="G4" s="31">
        <v>10.23</v>
      </c>
      <c r="H4" s="31"/>
      <c r="I4" s="31"/>
      <c r="J4" s="31"/>
      <c r="K4" s="125"/>
      <c r="L4" t="s">
        <v>101</v>
      </c>
    </row>
    <row r="5" spans="1:12">
      <c r="C5" s="29" t="s">
        <v>24</v>
      </c>
      <c r="D5" s="30"/>
      <c r="E5" s="31"/>
      <c r="F5" s="31"/>
      <c r="G5" s="31"/>
      <c r="H5" s="31"/>
      <c r="I5" s="31"/>
      <c r="J5" s="31"/>
      <c r="K5" s="32">
        <f t="shared" ref="K5" si="0">SUM(E5:J5)</f>
        <v>0</v>
      </c>
    </row>
    <row r="6" spans="1:12" ht="43.5">
      <c r="A6" s="35">
        <v>45127</v>
      </c>
      <c r="B6" t="s">
        <v>104</v>
      </c>
      <c r="C6" s="29" t="s">
        <v>105</v>
      </c>
      <c r="D6" s="36">
        <v>600</v>
      </c>
      <c r="E6" s="31"/>
      <c r="F6" s="31"/>
      <c r="G6" s="31"/>
      <c r="H6" s="31">
        <v>600</v>
      </c>
      <c r="I6" s="31"/>
      <c r="J6" s="31"/>
      <c r="K6" s="34">
        <v>600</v>
      </c>
    </row>
    <row r="7" spans="1:12" ht="43.5">
      <c r="B7" t="s">
        <v>106</v>
      </c>
      <c r="C7" s="29" t="s">
        <v>107</v>
      </c>
      <c r="D7" s="38">
        <v>800</v>
      </c>
      <c r="E7" s="31"/>
      <c r="F7" s="31"/>
      <c r="G7" s="31"/>
      <c r="H7" s="31"/>
      <c r="I7" s="31"/>
      <c r="J7" s="31">
        <v>800</v>
      </c>
      <c r="K7" s="39">
        <v>800</v>
      </c>
    </row>
    <row r="8" spans="1:12" ht="29.25">
      <c r="B8" t="s">
        <v>108</v>
      </c>
      <c r="C8" s="40" t="s">
        <v>109</v>
      </c>
      <c r="D8" s="41">
        <v>896.38</v>
      </c>
      <c r="E8" s="42"/>
      <c r="F8" s="42"/>
      <c r="G8" s="42"/>
      <c r="H8" s="42"/>
      <c r="I8" s="42"/>
      <c r="J8" s="42"/>
      <c r="K8" s="43">
        <v>896.38</v>
      </c>
    </row>
    <row r="9" spans="1:12" ht="57.95">
      <c r="B9" t="s">
        <v>110</v>
      </c>
      <c r="C9" s="40" t="s">
        <v>111</v>
      </c>
      <c r="D9" s="41"/>
      <c r="E9" s="42"/>
      <c r="F9" s="42"/>
      <c r="G9" s="42"/>
      <c r="H9" s="42"/>
      <c r="I9" s="42"/>
      <c r="J9" s="42"/>
      <c r="K9" s="43"/>
    </row>
    <row r="10" spans="1:12" ht="15" thickBot="1">
      <c r="C10" s="44" t="s">
        <v>89</v>
      </c>
      <c r="D10" s="45">
        <f>SUM(D2:D9)</f>
        <v>13141.609999999999</v>
      </c>
      <c r="E10" s="46"/>
      <c r="F10" s="46"/>
      <c r="G10" s="46"/>
      <c r="H10" s="46"/>
      <c r="I10" s="46"/>
      <c r="J10" s="46"/>
      <c r="K10" s="47">
        <f>SUM(K1:K9)</f>
        <v>12881.38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29417-75CD-4041-88AC-649A2F090051}">
  <dimension ref="A1:S43"/>
  <sheetViews>
    <sheetView tabSelected="1" topLeftCell="A28" workbookViewId="0">
      <selection activeCell="F44" sqref="F44"/>
    </sheetView>
  </sheetViews>
  <sheetFormatPr defaultColWidth="9.42578125" defaultRowHeight="14.45"/>
  <cols>
    <col min="1" max="1" width="11.85546875" customWidth="1"/>
    <col min="5" max="5" width="15.28515625" bestFit="1" customWidth="1"/>
    <col min="6" max="6" width="15.85546875" style="22" customWidth="1"/>
    <col min="7" max="7" width="9.42578125" style="22"/>
    <col min="8" max="8" width="14.5703125" style="22" customWidth="1"/>
    <col min="9" max="11" width="9.42578125" style="22"/>
    <col min="12" max="12" width="11.42578125" style="22" customWidth="1"/>
    <col min="13" max="13" width="11.85546875" style="22" customWidth="1"/>
    <col min="14" max="16" width="9.42578125" style="22"/>
    <col min="17" max="17" width="15.5703125" style="22" customWidth="1"/>
    <col min="18" max="18" width="9.42578125" style="22"/>
    <col min="19" max="19" width="14" customWidth="1"/>
  </cols>
  <sheetData>
    <row r="1" spans="1:18" ht="41.1" customHeight="1">
      <c r="A1" s="87" t="s">
        <v>112</v>
      </c>
      <c r="B1" s="88" t="s">
        <v>113</v>
      </c>
      <c r="C1" s="88" t="s">
        <v>114</v>
      </c>
      <c r="D1" s="89" t="s">
        <v>115</v>
      </c>
      <c r="E1" s="89" t="s">
        <v>116</v>
      </c>
      <c r="F1" s="90" t="s">
        <v>117</v>
      </c>
      <c r="G1" s="90" t="s">
        <v>118</v>
      </c>
      <c r="H1" s="91" t="s">
        <v>89</v>
      </c>
      <c r="I1" s="92" t="s">
        <v>119</v>
      </c>
      <c r="J1" s="93" t="s">
        <v>120</v>
      </c>
      <c r="K1" s="93" t="s">
        <v>121</v>
      </c>
      <c r="L1" s="94" t="s">
        <v>122</v>
      </c>
      <c r="M1" s="95" t="s">
        <v>123</v>
      </c>
      <c r="N1" s="96" t="s">
        <v>124</v>
      </c>
      <c r="O1" s="93" t="s">
        <v>125</v>
      </c>
      <c r="P1" s="93" t="s">
        <v>126</v>
      </c>
      <c r="Q1" s="93" t="s">
        <v>127</v>
      </c>
      <c r="R1" s="93" t="s">
        <v>128</v>
      </c>
    </row>
    <row r="2" spans="1:18" s="106" customFormat="1">
      <c r="A2" s="105">
        <v>45407</v>
      </c>
      <c r="B2" s="106">
        <v>89</v>
      </c>
      <c r="C2" s="106">
        <v>822168</v>
      </c>
      <c r="D2" s="106" t="s">
        <v>129</v>
      </c>
      <c r="E2" s="106" t="s">
        <v>130</v>
      </c>
      <c r="F2" s="10">
        <v>420</v>
      </c>
      <c r="G2" s="10"/>
      <c r="H2" s="10">
        <v>420</v>
      </c>
      <c r="I2" s="10"/>
      <c r="J2" s="10"/>
      <c r="K2" s="10"/>
      <c r="L2" s="19"/>
      <c r="M2" s="107"/>
      <c r="N2" s="108">
        <v>420</v>
      </c>
      <c r="O2" s="10"/>
      <c r="P2" s="56"/>
      <c r="Q2" s="56"/>
      <c r="R2" s="57"/>
    </row>
    <row r="3" spans="1:18" s="106" customFormat="1">
      <c r="A3" s="105">
        <v>45415</v>
      </c>
      <c r="B3" s="106">
        <v>90</v>
      </c>
      <c r="C3" s="106">
        <v>822169</v>
      </c>
      <c r="D3" s="106" t="s">
        <v>131</v>
      </c>
      <c r="E3" s="106" t="s">
        <v>132</v>
      </c>
      <c r="F3" s="10">
        <v>100</v>
      </c>
      <c r="G3" s="10"/>
      <c r="H3" s="10">
        <v>100</v>
      </c>
      <c r="I3" s="10"/>
      <c r="J3" s="10"/>
      <c r="K3" s="10">
        <v>100</v>
      </c>
      <c r="L3" s="19"/>
      <c r="M3" s="107"/>
      <c r="N3" s="108"/>
      <c r="O3" s="10"/>
      <c r="P3" s="56"/>
      <c r="Q3" s="56"/>
      <c r="R3" s="57"/>
    </row>
    <row r="4" spans="1:18" ht="29.1">
      <c r="A4" s="97">
        <v>45425</v>
      </c>
      <c r="B4" s="106">
        <v>91</v>
      </c>
      <c r="C4" s="106">
        <v>822170</v>
      </c>
      <c r="D4" t="s">
        <v>133</v>
      </c>
      <c r="E4" s="98" t="s">
        <v>134</v>
      </c>
      <c r="F4" s="99">
        <v>849.38</v>
      </c>
      <c r="G4" s="99"/>
      <c r="H4" s="100">
        <v>849.38</v>
      </c>
      <c r="I4" s="101"/>
      <c r="J4" s="99"/>
      <c r="K4" s="99"/>
      <c r="L4" s="102">
        <v>849.38</v>
      </c>
      <c r="M4" s="103"/>
      <c r="N4" s="104"/>
      <c r="O4" s="99"/>
      <c r="P4" s="99"/>
      <c r="Q4" s="99"/>
      <c r="R4" s="99"/>
    </row>
    <row r="5" spans="1:18" ht="29.1">
      <c r="A5" s="58"/>
      <c r="B5" s="106">
        <v>92</v>
      </c>
      <c r="C5" s="106">
        <v>822171</v>
      </c>
      <c r="D5" s="59" t="s">
        <v>135</v>
      </c>
      <c r="E5" s="59" t="s">
        <v>136</v>
      </c>
      <c r="F5" s="57">
        <v>22.99</v>
      </c>
      <c r="G5" s="57"/>
      <c r="H5" s="60">
        <v>22.99</v>
      </c>
      <c r="I5" s="61"/>
      <c r="J5" s="57"/>
      <c r="K5" s="57"/>
      <c r="L5" s="62"/>
      <c r="M5" s="63"/>
      <c r="N5" s="64"/>
      <c r="O5" s="57"/>
      <c r="P5" s="57"/>
      <c r="Q5" s="57">
        <v>22.99</v>
      </c>
      <c r="R5" s="57"/>
    </row>
    <row r="6" spans="1:18" ht="29.1">
      <c r="A6" s="58">
        <v>45449</v>
      </c>
      <c r="B6" s="106">
        <v>93</v>
      </c>
      <c r="C6" s="106">
        <v>822172</v>
      </c>
      <c r="D6" s="59" t="s">
        <v>137</v>
      </c>
      <c r="E6" s="59" t="s">
        <v>119</v>
      </c>
      <c r="F6" s="57">
        <v>721.45</v>
      </c>
      <c r="G6" s="57"/>
      <c r="H6" s="60">
        <v>721.45</v>
      </c>
      <c r="I6" s="61">
        <v>721.45</v>
      </c>
      <c r="J6" s="57"/>
      <c r="K6" s="57"/>
      <c r="L6" s="62"/>
      <c r="M6" s="63"/>
      <c r="N6" s="64"/>
      <c r="O6" s="57"/>
      <c r="P6" s="57"/>
      <c r="Q6" s="57"/>
      <c r="R6" s="57"/>
    </row>
    <row r="7" spans="1:18" ht="29.1">
      <c r="A7" s="58">
        <v>45470</v>
      </c>
      <c r="B7" s="106">
        <v>94</v>
      </c>
      <c r="C7" s="106">
        <v>822173</v>
      </c>
      <c r="D7" s="59" t="s">
        <v>138</v>
      </c>
      <c r="E7" s="59" t="s">
        <v>139</v>
      </c>
      <c r="F7" s="57">
        <v>342</v>
      </c>
      <c r="G7" s="57"/>
      <c r="H7" s="60">
        <v>342</v>
      </c>
      <c r="I7" s="61"/>
      <c r="J7" s="57"/>
      <c r="K7" s="57"/>
      <c r="L7" s="62">
        <v>342</v>
      </c>
      <c r="M7" s="63"/>
      <c r="N7" s="64"/>
      <c r="O7" s="57"/>
      <c r="P7" s="57"/>
      <c r="Q7" s="57"/>
      <c r="R7" s="57"/>
    </row>
    <row r="8" spans="1:18">
      <c r="A8" s="58">
        <v>45484</v>
      </c>
      <c r="B8" s="106">
        <v>95</v>
      </c>
      <c r="C8" s="106">
        <v>822174</v>
      </c>
      <c r="D8" s="59" t="s">
        <v>140</v>
      </c>
      <c r="E8" s="59" t="s">
        <v>141</v>
      </c>
      <c r="F8" s="57">
        <v>25</v>
      </c>
      <c r="G8" s="57"/>
      <c r="H8" s="60">
        <v>25</v>
      </c>
      <c r="I8" s="61"/>
      <c r="J8" s="57"/>
      <c r="K8" s="57"/>
      <c r="L8" s="62"/>
      <c r="M8" s="63"/>
      <c r="N8" s="64"/>
      <c r="O8" s="57"/>
      <c r="P8" s="57"/>
      <c r="Q8" s="57"/>
      <c r="R8" s="57">
        <v>25</v>
      </c>
    </row>
    <row r="9" spans="1:18" ht="43.5">
      <c r="A9" s="58">
        <v>45484</v>
      </c>
      <c r="B9" s="106">
        <v>96</v>
      </c>
      <c r="C9" s="106">
        <v>822175</v>
      </c>
      <c r="D9" s="59" t="s">
        <v>142</v>
      </c>
      <c r="E9" s="59" t="s">
        <v>143</v>
      </c>
      <c r="F9" s="57">
        <v>221.39</v>
      </c>
      <c r="G9" s="57"/>
      <c r="H9" s="60">
        <v>221.39</v>
      </c>
      <c r="I9" s="61"/>
      <c r="J9" s="57"/>
      <c r="K9" s="57"/>
      <c r="L9" s="62"/>
      <c r="M9" s="63"/>
      <c r="N9" s="64"/>
      <c r="O9" s="57">
        <v>221.39</v>
      </c>
      <c r="P9" s="57"/>
      <c r="Q9" s="57"/>
      <c r="R9" s="57"/>
    </row>
    <row r="10" spans="1:18" ht="43.5">
      <c r="A10" s="58">
        <v>45484</v>
      </c>
      <c r="B10" s="106">
        <v>97</v>
      </c>
      <c r="C10" s="106">
        <v>822176</v>
      </c>
      <c r="D10" s="59" t="s">
        <v>144</v>
      </c>
      <c r="E10" s="59" t="s">
        <v>145</v>
      </c>
      <c r="F10" s="57">
        <v>72</v>
      </c>
      <c r="G10" s="57"/>
      <c r="H10" s="60">
        <v>72</v>
      </c>
      <c r="I10" s="61"/>
      <c r="J10" s="57"/>
      <c r="K10" s="57"/>
      <c r="L10" s="62"/>
      <c r="M10" s="63"/>
      <c r="N10" s="64">
        <v>72</v>
      </c>
      <c r="O10" s="57"/>
      <c r="P10" s="57"/>
      <c r="Q10" s="57"/>
      <c r="R10" s="57"/>
    </row>
    <row r="11" spans="1:18" ht="116.1">
      <c r="A11" s="58">
        <v>45484</v>
      </c>
      <c r="B11" s="106">
        <v>98</v>
      </c>
      <c r="C11" s="106">
        <v>822177</v>
      </c>
      <c r="D11" s="59" t="s">
        <v>133</v>
      </c>
      <c r="E11" s="59" t="s">
        <v>146</v>
      </c>
      <c r="F11" s="57">
        <v>507.47</v>
      </c>
      <c r="G11" s="57"/>
      <c r="H11" s="60">
        <v>507.47</v>
      </c>
      <c r="I11" s="61"/>
      <c r="J11" s="57"/>
      <c r="K11" s="57"/>
      <c r="L11" s="62"/>
      <c r="M11" s="63">
        <v>507.47</v>
      </c>
      <c r="N11" s="64"/>
      <c r="O11" s="57"/>
      <c r="P11" s="57"/>
      <c r="Q11" s="57"/>
      <c r="R11" s="57"/>
    </row>
    <row r="12" spans="1:18" ht="29.1">
      <c r="A12" s="58">
        <v>45484</v>
      </c>
      <c r="B12" s="106">
        <v>99</v>
      </c>
      <c r="C12" s="106">
        <v>822178</v>
      </c>
      <c r="D12" s="59" t="s">
        <v>147</v>
      </c>
      <c r="E12" s="59" t="s">
        <v>148</v>
      </c>
      <c r="F12" s="57">
        <v>312</v>
      </c>
      <c r="G12" s="57"/>
      <c r="H12" s="60">
        <v>312</v>
      </c>
      <c r="I12" s="61"/>
      <c r="J12" s="57"/>
      <c r="K12" s="57"/>
      <c r="L12" s="62"/>
      <c r="M12" s="63">
        <v>312</v>
      </c>
      <c r="N12" s="64"/>
      <c r="O12" s="57"/>
      <c r="P12" s="57"/>
      <c r="Q12" s="57"/>
      <c r="R12" s="57"/>
    </row>
    <row r="13" spans="1:18" ht="29.1">
      <c r="A13" s="58">
        <v>45502</v>
      </c>
      <c r="B13" s="106">
        <v>100</v>
      </c>
      <c r="C13" s="106">
        <v>822179</v>
      </c>
      <c r="D13" s="59" t="s">
        <v>149</v>
      </c>
      <c r="E13" s="59" t="s">
        <v>139</v>
      </c>
      <c r="F13" s="57">
        <v>541.5</v>
      </c>
      <c r="G13" s="57"/>
      <c r="H13" s="60">
        <v>541.5</v>
      </c>
      <c r="I13" s="61"/>
      <c r="J13" s="57"/>
      <c r="K13" s="57"/>
      <c r="L13" s="62">
        <v>541.5</v>
      </c>
      <c r="M13" s="63"/>
      <c r="N13" s="64"/>
      <c r="O13" s="57"/>
      <c r="P13" s="57"/>
      <c r="Q13" s="57"/>
      <c r="R13" s="57"/>
    </row>
    <row r="14" spans="1:18" ht="29.1">
      <c r="A14" s="58">
        <v>45502</v>
      </c>
      <c r="B14" s="106">
        <v>101</v>
      </c>
      <c r="C14" s="106">
        <v>822180</v>
      </c>
      <c r="D14" s="59" t="s">
        <v>138</v>
      </c>
      <c r="E14" s="59" t="s">
        <v>139</v>
      </c>
      <c r="F14" s="57">
        <v>237.5</v>
      </c>
      <c r="G14" s="57"/>
      <c r="H14" s="60">
        <v>237.5</v>
      </c>
      <c r="I14" s="61"/>
      <c r="J14" s="57"/>
      <c r="K14" s="57"/>
      <c r="L14" s="62">
        <v>237.5</v>
      </c>
      <c r="M14" s="63"/>
      <c r="N14" s="64"/>
      <c r="O14" s="57"/>
      <c r="P14" s="57"/>
      <c r="Q14" s="57"/>
      <c r="R14" s="57"/>
    </row>
    <row r="15" spans="1:18" ht="15">
      <c r="A15" s="58"/>
      <c r="B15" s="106">
        <v>102</v>
      </c>
      <c r="C15" s="106">
        <v>822181</v>
      </c>
      <c r="D15" s="59" t="s">
        <v>150</v>
      </c>
      <c r="E15" s="59"/>
      <c r="F15" s="57"/>
      <c r="G15" s="57"/>
      <c r="H15" s="60"/>
      <c r="I15" s="61"/>
      <c r="J15" s="57"/>
      <c r="K15" s="57"/>
      <c r="L15" s="62"/>
      <c r="M15" s="63"/>
      <c r="N15" s="64"/>
      <c r="O15" s="57"/>
      <c r="P15" s="57"/>
      <c r="Q15" s="57"/>
      <c r="R15" s="57"/>
    </row>
    <row r="16" spans="1:18" ht="29.25">
      <c r="A16" s="58">
        <v>45544</v>
      </c>
      <c r="B16" s="106">
        <v>103</v>
      </c>
      <c r="C16" s="106">
        <v>822182</v>
      </c>
      <c r="D16" s="59" t="s">
        <v>138</v>
      </c>
      <c r="E16" s="59" t="s">
        <v>139</v>
      </c>
      <c r="F16" s="57">
        <v>361</v>
      </c>
      <c r="G16" s="57"/>
      <c r="H16" s="60">
        <v>361</v>
      </c>
      <c r="I16" s="61"/>
      <c r="J16" s="57"/>
      <c r="K16" s="57"/>
      <c r="L16" s="62">
        <v>361</v>
      </c>
      <c r="M16" s="63"/>
      <c r="N16" s="64"/>
      <c r="O16" s="57"/>
      <c r="P16" s="57"/>
      <c r="Q16" s="57"/>
      <c r="R16" s="57"/>
    </row>
    <row r="17" spans="1:18" ht="29.25">
      <c r="A17" s="58"/>
      <c r="B17" s="106">
        <v>104</v>
      </c>
      <c r="C17" s="106">
        <v>822183</v>
      </c>
      <c r="D17" s="59" t="s">
        <v>149</v>
      </c>
      <c r="E17" s="59" t="s">
        <v>139</v>
      </c>
      <c r="F17" s="57">
        <v>380</v>
      </c>
      <c r="G17" s="57"/>
      <c r="H17" s="60">
        <v>380</v>
      </c>
      <c r="I17" s="61"/>
      <c r="J17" s="57"/>
      <c r="K17" s="57"/>
      <c r="L17" s="62">
        <v>380</v>
      </c>
      <c r="M17" s="63"/>
      <c r="N17" s="64"/>
      <c r="O17" s="57"/>
      <c r="P17" s="57"/>
      <c r="Q17" s="57"/>
      <c r="R17" s="57"/>
    </row>
    <row r="18" spans="1:18" ht="43.5">
      <c r="A18" s="58"/>
      <c r="B18" s="106">
        <v>105</v>
      </c>
      <c r="C18" s="106">
        <v>822184</v>
      </c>
      <c r="D18" s="59" t="s">
        <v>149</v>
      </c>
      <c r="E18" s="59" t="s">
        <v>151</v>
      </c>
      <c r="F18" s="57">
        <v>79.98</v>
      </c>
      <c r="G18" s="57"/>
      <c r="H18" s="60">
        <v>79.98</v>
      </c>
      <c r="I18" s="61"/>
      <c r="J18" s="57"/>
      <c r="K18" s="57"/>
      <c r="L18" s="62"/>
      <c r="M18" s="63">
        <v>79.98</v>
      </c>
      <c r="N18" s="64"/>
      <c r="O18" s="57"/>
      <c r="P18" s="57"/>
      <c r="Q18" s="57"/>
      <c r="R18" s="57"/>
    </row>
    <row r="19" spans="1:18" ht="29.25">
      <c r="A19" s="58"/>
      <c r="B19" s="106">
        <v>106</v>
      </c>
      <c r="C19" s="106">
        <v>822185</v>
      </c>
      <c r="D19" s="59" t="s">
        <v>133</v>
      </c>
      <c r="E19" s="59" t="s">
        <v>134</v>
      </c>
      <c r="F19" s="57">
        <v>600</v>
      </c>
      <c r="G19" s="57"/>
      <c r="H19" s="60">
        <v>600</v>
      </c>
      <c r="I19" s="61"/>
      <c r="J19" s="57"/>
      <c r="K19" s="57"/>
      <c r="L19" s="62">
        <v>600</v>
      </c>
      <c r="M19" s="63"/>
      <c r="N19" s="64"/>
      <c r="O19" s="57"/>
      <c r="P19" s="57"/>
      <c r="Q19" s="57"/>
      <c r="R19" s="57"/>
    </row>
    <row r="20" spans="1:18" ht="29.25">
      <c r="A20" s="58"/>
      <c r="B20" s="106">
        <v>107</v>
      </c>
      <c r="C20" s="106">
        <v>822186</v>
      </c>
      <c r="D20" s="59" t="s">
        <v>133</v>
      </c>
      <c r="E20" s="59" t="s">
        <v>134</v>
      </c>
      <c r="F20" s="57">
        <v>623.04</v>
      </c>
      <c r="G20" s="57"/>
      <c r="H20" s="60">
        <v>623.04</v>
      </c>
      <c r="I20" s="61"/>
      <c r="J20" s="57"/>
      <c r="K20" s="57"/>
      <c r="L20" s="62">
        <v>623.04</v>
      </c>
      <c r="M20" s="63"/>
      <c r="N20" s="64"/>
      <c r="O20" s="57"/>
      <c r="P20" s="57"/>
      <c r="Q20" s="57"/>
      <c r="R20" s="57"/>
    </row>
    <row r="21" spans="1:18" ht="29.25">
      <c r="A21" s="58">
        <v>45579</v>
      </c>
      <c r="B21" s="106">
        <v>108</v>
      </c>
      <c r="C21" s="106">
        <v>822187</v>
      </c>
      <c r="D21" s="59" t="s">
        <v>149</v>
      </c>
      <c r="E21" s="59" t="s">
        <v>139</v>
      </c>
      <c r="F21" s="57">
        <v>228</v>
      </c>
      <c r="G21" s="57"/>
      <c r="H21" s="60">
        <v>228</v>
      </c>
      <c r="I21" s="61"/>
      <c r="J21" s="57"/>
      <c r="K21" s="57"/>
      <c r="L21" s="62">
        <v>228</v>
      </c>
      <c r="M21" s="63"/>
      <c r="N21" s="64"/>
      <c r="O21" s="57"/>
      <c r="P21" s="57"/>
      <c r="Q21" s="57"/>
      <c r="R21" s="57"/>
    </row>
    <row r="22" spans="1:18" ht="29.25">
      <c r="A22" s="58"/>
      <c r="B22" s="106">
        <v>109</v>
      </c>
      <c r="C22" s="106">
        <v>822188</v>
      </c>
      <c r="D22" s="59" t="s">
        <v>138</v>
      </c>
      <c r="E22" s="59" t="s">
        <v>139</v>
      </c>
      <c r="F22" s="57">
        <v>130</v>
      </c>
      <c r="G22" s="57"/>
      <c r="H22" s="60">
        <v>130</v>
      </c>
      <c r="I22" s="61"/>
      <c r="J22" s="57"/>
      <c r="K22" s="57"/>
      <c r="L22" s="62">
        <v>130</v>
      </c>
      <c r="M22" s="63"/>
      <c r="N22" s="64"/>
      <c r="O22" s="57"/>
      <c r="P22" s="57"/>
      <c r="Q22" s="57"/>
      <c r="R22" s="57"/>
    </row>
    <row r="23" spans="1:18" ht="29.25">
      <c r="A23" s="58">
        <v>45607</v>
      </c>
      <c r="B23" s="106">
        <v>110</v>
      </c>
      <c r="C23" s="106">
        <v>822189</v>
      </c>
      <c r="D23" s="59" t="s">
        <v>138</v>
      </c>
      <c r="E23" s="59" t="s">
        <v>139</v>
      </c>
      <c r="F23" s="57">
        <v>228</v>
      </c>
      <c r="G23" s="57"/>
      <c r="H23" s="60">
        <v>228</v>
      </c>
      <c r="I23" s="61"/>
      <c r="J23" s="57"/>
      <c r="K23" s="57"/>
      <c r="L23" s="62">
        <v>228</v>
      </c>
      <c r="M23" s="63"/>
      <c r="N23" s="64"/>
      <c r="O23" s="57"/>
      <c r="P23" s="57"/>
      <c r="Q23" s="57"/>
      <c r="R23" s="57"/>
    </row>
    <row r="24" spans="1:18" ht="15">
      <c r="A24" s="58">
        <v>45567</v>
      </c>
      <c r="B24" s="106" t="s">
        <v>152</v>
      </c>
      <c r="C24" s="106" t="s">
        <v>153</v>
      </c>
      <c r="D24" s="59" t="s">
        <v>154</v>
      </c>
      <c r="E24" s="59" t="s">
        <v>154</v>
      </c>
      <c r="F24" s="57">
        <v>35</v>
      </c>
      <c r="G24" s="57"/>
      <c r="H24" s="60">
        <v>35</v>
      </c>
      <c r="I24" s="61">
        <v>35</v>
      </c>
      <c r="J24" s="57"/>
      <c r="K24" s="57"/>
      <c r="L24" s="62"/>
      <c r="M24" s="63"/>
      <c r="N24" s="64"/>
      <c r="O24" s="57"/>
      <c r="P24" s="57"/>
      <c r="Q24" s="57"/>
      <c r="R24" s="57"/>
    </row>
    <row r="25" spans="1:18" ht="43.5">
      <c r="A25" s="58">
        <v>45623</v>
      </c>
      <c r="B25" s="55" t="s">
        <v>155</v>
      </c>
      <c r="C25" s="55" t="s">
        <v>156</v>
      </c>
      <c r="D25" s="59" t="s">
        <v>157</v>
      </c>
      <c r="E25" s="59" t="s">
        <v>158</v>
      </c>
      <c r="F25" s="57">
        <v>1530</v>
      </c>
      <c r="G25" s="57"/>
      <c r="H25" s="60">
        <v>1530</v>
      </c>
      <c r="I25" s="61"/>
      <c r="J25" s="57"/>
      <c r="K25" s="57"/>
      <c r="L25" s="62"/>
      <c r="M25" s="63">
        <v>1530</v>
      </c>
      <c r="N25" s="64"/>
      <c r="O25" s="57"/>
      <c r="P25" s="57"/>
      <c r="Q25" s="57"/>
      <c r="R25" s="57"/>
    </row>
    <row r="26" spans="1:18" ht="29.25">
      <c r="A26" s="58" t="s">
        <v>159</v>
      </c>
      <c r="B26" s="55">
        <v>112</v>
      </c>
      <c r="C26" s="55" t="s">
        <v>160</v>
      </c>
      <c r="D26" s="59" t="s">
        <v>161</v>
      </c>
      <c r="E26" s="59" t="s">
        <v>162</v>
      </c>
      <c r="F26" s="57">
        <v>180</v>
      </c>
      <c r="G26" s="57"/>
      <c r="H26" s="60">
        <v>180</v>
      </c>
      <c r="I26" s="61"/>
      <c r="J26" s="57"/>
      <c r="K26" s="57"/>
      <c r="L26" s="62"/>
      <c r="M26" s="63">
        <v>180</v>
      </c>
      <c r="N26" s="64"/>
      <c r="O26" s="57"/>
      <c r="P26" s="57"/>
      <c r="Q26" s="57"/>
      <c r="R26" s="57"/>
    </row>
    <row r="27" spans="1:18" ht="29.25">
      <c r="A27" s="58">
        <v>45635</v>
      </c>
      <c r="B27" s="55">
        <v>113</v>
      </c>
      <c r="C27" s="55" t="s">
        <v>156</v>
      </c>
      <c r="D27" s="59" t="s">
        <v>133</v>
      </c>
      <c r="E27" s="59" t="s">
        <v>134</v>
      </c>
      <c r="F27" s="57">
        <v>978.44</v>
      </c>
      <c r="G27" s="57"/>
      <c r="H27" s="60">
        <v>978.44</v>
      </c>
      <c r="I27" s="61"/>
      <c r="J27" s="57"/>
      <c r="K27" s="57"/>
      <c r="L27" s="62">
        <v>978.44</v>
      </c>
      <c r="M27" s="63"/>
      <c r="N27" s="64"/>
      <c r="O27" s="57"/>
      <c r="P27" s="57"/>
      <c r="Q27" s="57"/>
      <c r="R27" s="57"/>
    </row>
    <row r="28" spans="1:18" ht="29.25">
      <c r="A28" s="58">
        <v>45636</v>
      </c>
      <c r="B28" s="55">
        <v>114</v>
      </c>
      <c r="C28" s="55" t="s">
        <v>156</v>
      </c>
      <c r="D28" s="59" t="s">
        <v>138</v>
      </c>
      <c r="E28" s="59" t="s">
        <v>139</v>
      </c>
      <c r="F28" s="57">
        <v>171</v>
      </c>
      <c r="G28" s="57"/>
      <c r="H28" s="60">
        <v>171</v>
      </c>
      <c r="I28" s="61"/>
      <c r="J28" s="57"/>
      <c r="K28" s="57"/>
      <c r="L28" s="62">
        <v>171</v>
      </c>
      <c r="M28" s="63"/>
      <c r="N28" s="64"/>
      <c r="O28" s="57"/>
      <c r="P28" s="57"/>
      <c r="Q28" s="57"/>
      <c r="R28" s="57"/>
    </row>
    <row r="29" spans="1:18" ht="72.75">
      <c r="A29" s="58">
        <v>45672</v>
      </c>
      <c r="B29" s="55">
        <v>115</v>
      </c>
      <c r="C29" s="55" t="s">
        <v>163</v>
      </c>
      <c r="D29" s="59" t="s">
        <v>133</v>
      </c>
      <c r="E29" s="59" t="s">
        <v>164</v>
      </c>
      <c r="F29" s="57">
        <v>18.989999999999998</v>
      </c>
      <c r="G29" s="57"/>
      <c r="H29" s="60">
        <v>18.989999999999998</v>
      </c>
      <c r="I29" s="61"/>
      <c r="J29" s="57"/>
      <c r="K29" s="57"/>
      <c r="L29" s="62"/>
      <c r="M29" s="63">
        <v>18.989999999999998</v>
      </c>
      <c r="N29" s="64"/>
      <c r="O29" s="57"/>
      <c r="P29" s="57"/>
      <c r="Q29" s="57"/>
      <c r="R29" s="124"/>
    </row>
    <row r="30" spans="1:18" ht="29.25">
      <c r="A30" s="58">
        <v>45672</v>
      </c>
      <c r="B30" s="55">
        <v>116</v>
      </c>
      <c r="C30" s="55" t="s">
        <v>156</v>
      </c>
      <c r="D30" s="59" t="s">
        <v>138</v>
      </c>
      <c r="E30" s="59" t="s">
        <v>165</v>
      </c>
      <c r="F30" s="57">
        <v>104.5</v>
      </c>
      <c r="G30" s="57"/>
      <c r="H30" s="60">
        <v>104.5</v>
      </c>
      <c r="I30" s="61"/>
      <c r="J30" s="57"/>
      <c r="K30" s="57"/>
      <c r="L30" s="62">
        <v>104.5</v>
      </c>
      <c r="M30" s="63"/>
      <c r="N30" s="64"/>
      <c r="O30" s="57"/>
      <c r="P30" s="57"/>
      <c r="Q30" s="57"/>
      <c r="R30" s="124"/>
    </row>
    <row r="31" spans="1:18" ht="15">
      <c r="A31" s="58">
        <v>45684</v>
      </c>
      <c r="B31" s="55">
        <v>117</v>
      </c>
      <c r="C31" s="55" t="s">
        <v>156</v>
      </c>
      <c r="D31" s="59" t="s">
        <v>166</v>
      </c>
      <c r="E31" s="59" t="s">
        <v>167</v>
      </c>
      <c r="F31" s="57">
        <v>244.89</v>
      </c>
      <c r="G31" s="57"/>
      <c r="H31" s="60">
        <v>244.89</v>
      </c>
      <c r="I31" s="61"/>
      <c r="J31" s="57"/>
      <c r="K31" s="57"/>
      <c r="L31" s="62">
        <v>244.89</v>
      </c>
      <c r="M31" s="63"/>
      <c r="N31" s="64"/>
      <c r="O31" s="57"/>
      <c r="P31" s="57"/>
      <c r="Q31" s="57"/>
      <c r="R31" s="124"/>
    </row>
    <row r="32" spans="1:18" ht="29.25">
      <c r="A32" s="58">
        <v>45700</v>
      </c>
      <c r="B32" s="55">
        <v>118</v>
      </c>
      <c r="C32" s="55" t="s">
        <v>156</v>
      </c>
      <c r="D32" s="59" t="s">
        <v>138</v>
      </c>
      <c r="E32" s="59" t="s">
        <v>165</v>
      </c>
      <c r="F32" s="57">
        <v>152</v>
      </c>
      <c r="G32" s="57"/>
      <c r="H32" s="60">
        <v>152</v>
      </c>
      <c r="I32" s="61"/>
      <c r="J32" s="57"/>
      <c r="K32" s="57"/>
      <c r="L32" s="62">
        <v>152</v>
      </c>
      <c r="M32" s="63"/>
      <c r="N32" s="64"/>
      <c r="O32" s="57"/>
      <c r="P32" s="57"/>
      <c r="Q32" s="57"/>
      <c r="R32" s="124"/>
    </row>
    <row r="33" spans="1:19" ht="29.25">
      <c r="A33" s="58">
        <v>45727</v>
      </c>
      <c r="B33" s="55">
        <v>119</v>
      </c>
      <c r="C33" s="55" t="s">
        <v>156</v>
      </c>
      <c r="D33" s="59" t="s">
        <v>138</v>
      </c>
      <c r="E33" s="59" t="s">
        <v>139</v>
      </c>
      <c r="F33" s="57">
        <v>190</v>
      </c>
      <c r="G33" s="57"/>
      <c r="H33" s="60">
        <v>190</v>
      </c>
      <c r="I33" s="61"/>
      <c r="J33" s="57"/>
      <c r="K33" s="57"/>
      <c r="L33" s="62">
        <v>190</v>
      </c>
      <c r="M33" s="63"/>
      <c r="N33" s="64"/>
      <c r="O33" s="57"/>
      <c r="P33" s="57"/>
      <c r="Q33" s="57"/>
      <c r="R33" s="124"/>
    </row>
    <row r="34" spans="1:19" ht="29.25">
      <c r="A34" s="58">
        <v>45727</v>
      </c>
      <c r="B34" s="55">
        <v>120</v>
      </c>
      <c r="C34" s="55" t="s">
        <v>156</v>
      </c>
      <c r="D34" s="59" t="s">
        <v>133</v>
      </c>
      <c r="E34" s="59" t="s">
        <v>134</v>
      </c>
      <c r="F34" s="57">
        <v>978.44</v>
      </c>
      <c r="G34" s="57"/>
      <c r="H34" s="60">
        <v>978.44</v>
      </c>
      <c r="I34" s="61"/>
      <c r="J34" s="57"/>
      <c r="K34" s="57"/>
      <c r="L34" s="62">
        <v>978.44</v>
      </c>
      <c r="M34" s="63"/>
      <c r="N34" s="64"/>
      <c r="O34" s="57"/>
      <c r="P34" s="57"/>
      <c r="Q34" s="57"/>
      <c r="R34" s="124"/>
    </row>
    <row r="35" spans="1:19" ht="29.25">
      <c r="A35" s="58">
        <v>45743</v>
      </c>
      <c r="B35" s="55">
        <v>121</v>
      </c>
      <c r="C35" s="55" t="s">
        <v>156</v>
      </c>
      <c r="D35" s="59" t="s">
        <v>168</v>
      </c>
      <c r="E35" s="59" t="s">
        <v>169</v>
      </c>
      <c r="F35" s="57">
        <v>727.45</v>
      </c>
      <c r="G35" s="57"/>
      <c r="H35" s="60">
        <v>727.45</v>
      </c>
      <c r="I35" s="61"/>
      <c r="J35" s="57"/>
      <c r="K35" s="57"/>
      <c r="L35" s="62"/>
      <c r="M35" s="63">
        <v>727.45</v>
      </c>
      <c r="N35" s="64"/>
      <c r="O35" s="57"/>
      <c r="P35" s="57"/>
      <c r="Q35" s="57"/>
      <c r="R35" s="124"/>
    </row>
    <row r="36" spans="1:19" ht="29.25">
      <c r="A36" s="58" t="s">
        <v>170</v>
      </c>
      <c r="B36" s="55">
        <v>122</v>
      </c>
      <c r="C36" s="55" t="s">
        <v>156</v>
      </c>
      <c r="D36" s="59" t="s">
        <v>171</v>
      </c>
      <c r="E36" s="59" t="s">
        <v>172</v>
      </c>
      <c r="F36" s="57">
        <v>5</v>
      </c>
      <c r="G36" s="57"/>
      <c r="H36" s="60">
        <v>5</v>
      </c>
      <c r="I36" s="61"/>
      <c r="J36" s="57"/>
      <c r="K36" s="57"/>
      <c r="L36" s="62"/>
      <c r="M36" s="63">
        <v>5</v>
      </c>
      <c r="N36" s="64"/>
      <c r="O36" s="57"/>
      <c r="P36" s="57"/>
      <c r="Q36" s="57"/>
      <c r="R36" s="124"/>
    </row>
    <row r="37" spans="1:19" ht="71.25">
      <c r="A37" s="65"/>
      <c r="B37" s="66">
        <v>115</v>
      </c>
      <c r="C37" s="66"/>
      <c r="D37" s="67"/>
      <c r="E37" s="67"/>
      <c r="F37" s="68"/>
      <c r="G37" s="69" t="s">
        <v>118</v>
      </c>
      <c r="H37" s="70" t="s">
        <v>89</v>
      </c>
      <c r="I37" s="71" t="s">
        <v>119</v>
      </c>
      <c r="J37" s="69" t="s">
        <v>120</v>
      </c>
      <c r="K37" s="69" t="s">
        <v>131</v>
      </c>
      <c r="L37" s="72" t="s">
        <v>122</v>
      </c>
      <c r="M37" s="73" t="s">
        <v>123</v>
      </c>
      <c r="N37" s="74" t="s">
        <v>124</v>
      </c>
      <c r="O37" s="69" t="s">
        <v>173</v>
      </c>
      <c r="P37" s="69" t="s">
        <v>126</v>
      </c>
      <c r="Q37" s="69" t="s">
        <v>127</v>
      </c>
      <c r="R37" s="75" t="s">
        <v>128</v>
      </c>
      <c r="S37" s="68" t="s">
        <v>174</v>
      </c>
    </row>
    <row r="38" spans="1:19" ht="18.95" thickBot="1">
      <c r="A38" s="76"/>
      <c r="B38" s="77"/>
      <c r="C38" s="78"/>
      <c r="D38" s="78"/>
      <c r="E38" s="78"/>
      <c r="F38" s="79">
        <f>SUM(F2:F36)</f>
        <v>12318.410000000002</v>
      </c>
      <c r="G38" s="79"/>
      <c r="H38" s="80">
        <f>SUM(G2:H36)</f>
        <v>12318.410000000002</v>
      </c>
      <c r="I38" s="81">
        <f>SUM(I2:I27)</f>
        <v>756.45</v>
      </c>
      <c r="J38" s="82">
        <f>SUM(J2:J27)</f>
        <v>0</v>
      </c>
      <c r="K38" s="82">
        <f>SUM(K2:K27)</f>
        <v>100</v>
      </c>
      <c r="L38" s="83">
        <f>SUM(L2:L35)</f>
        <v>7339.6900000000005</v>
      </c>
      <c r="M38" s="84">
        <f>SUM(M2:M36)</f>
        <v>3360.8899999999994</v>
      </c>
      <c r="N38" s="85">
        <f>SUM(N2:N27)</f>
        <v>492</v>
      </c>
      <c r="O38" s="82">
        <f>SUM(O2:O27)</f>
        <v>221.39</v>
      </c>
      <c r="P38" s="82">
        <f t="shared" ref="I38:Q38" si="0">SUM(P2:P27)</f>
        <v>0</v>
      </c>
      <c r="Q38" s="82">
        <f t="shared" si="0"/>
        <v>22.99</v>
      </c>
      <c r="R38" s="86">
        <f>SUM(R2:R28)</f>
        <v>25</v>
      </c>
      <c r="S38" s="82">
        <f>SUM(I38:R38)</f>
        <v>12318.41</v>
      </c>
    </row>
    <row r="40" spans="1:19">
      <c r="Q40" s="22" t="s">
        <v>175</v>
      </c>
    </row>
    <row r="42" spans="1:19">
      <c r="E42" t="s">
        <v>176</v>
      </c>
      <c r="F42" s="22">
        <f>SUM(F33+F32+F30+F28+F23+F22+F21+F18+F17+F16+F14+F13+F7)</f>
        <v>3145.48</v>
      </c>
    </row>
    <row r="43" spans="1:19">
      <c r="E43" t="s">
        <v>177</v>
      </c>
      <c r="F43" s="22">
        <f>SUM(F34+F27+F20+F19+F4+L18+F31)</f>
        <v>4274.1900000000005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Steven Harrison</dc:creator>
  <cp:keywords/>
  <dc:description/>
  <cp:lastModifiedBy>Wray Clerk</cp:lastModifiedBy>
  <cp:revision/>
  <dcterms:created xsi:type="dcterms:W3CDTF">2024-09-08T19:32:15Z</dcterms:created>
  <dcterms:modified xsi:type="dcterms:W3CDTF">2025-04-26T14:25:51Z</dcterms:modified>
  <cp:category/>
  <cp:contentStatus/>
</cp:coreProperties>
</file>